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10455" activeTab="3"/>
  </bookViews>
  <sheets>
    <sheet name="社員マスタ" sheetId="1" r:id="rId1"/>
    <sheet name="明細票" sheetId="2" r:id="rId2"/>
    <sheet name="明細票 (2)" sheetId="3" r:id="rId3"/>
    <sheet name="明細票 (3)" sheetId="4" r:id="rId4"/>
  </sheets>
  <definedNames>
    <definedName name="a006_" localSheetId="2">'明細票 (2)'!$D$2</definedName>
    <definedName name="a006_" localSheetId="3">'明細票 (3)'!$D$2</definedName>
    <definedName name="a006_">'明細票'!$D$2</definedName>
    <definedName name="code_all">'社員マスタ'!$A$2:$A$28</definedName>
    <definedName name="jyumin_a">'社員マスタ'!$K$2:$K$28</definedName>
    <definedName name="jyutaku_a">'社員マスタ'!$F$2:$F$28</definedName>
    <definedName name="kaigo_a">'社員マスタ'!$I$2:$I$28</definedName>
    <definedName name="kazoku_a">'社員マスタ'!$G$2:$G$28</definedName>
    <definedName name="kenpo_a">'社員マスタ'!$H$2:$H$28</definedName>
    <definedName name="kihon_a">'社員マスタ'!$C$2:$C$28</definedName>
    <definedName name="kousei_a">'社員マスタ'!$J$2:$J$28</definedName>
    <definedName name="m_name">'社員マスタ'!$B:$B</definedName>
    <definedName name="name_a">'社員マスタ'!$B$2:$B$28</definedName>
    <definedName name="name1">#REF!</definedName>
    <definedName name="name2">#REF!</definedName>
    <definedName name="name5">#REF!</definedName>
    <definedName name="ncd" localSheetId="2">'明細票 (2)'!$D$2</definedName>
    <definedName name="ncd" localSheetId="3">'明細票 (3)'!$D$2</definedName>
    <definedName name="ncd">'明細票'!$D$2</definedName>
    <definedName name="ncd2" localSheetId="2">'明細票 (2)'!$D$3</definedName>
    <definedName name="ncd2" localSheetId="3">'明細票 (3)'!$D$3</definedName>
    <definedName name="ncd2">'明細票'!$D$3</definedName>
    <definedName name="ncd3" localSheetId="2">'明細票 (2)'!$D$4</definedName>
    <definedName name="ncd3" localSheetId="3">'明細票 (3)'!$D$4</definedName>
    <definedName name="ncd3">'明細票'!$D$4</definedName>
    <definedName name="ncd4" localSheetId="2">'明細票 (2)'!$D$5</definedName>
    <definedName name="ncd4" localSheetId="3">'明細票 (3)'!$D$5</definedName>
    <definedName name="ncd4">'明細票'!$D$5</definedName>
    <definedName name="part">'社員マスタ'!$L$2:$L$28</definedName>
    <definedName name="_xlnm.Print_Area" localSheetId="1">'明細票'!$B$7:$L$58</definedName>
    <definedName name="_xlnm.Print_Area" localSheetId="2">'明細票 (2)'!$B$7:$L$58</definedName>
    <definedName name="_xlnm.Print_Area" localSheetId="3">'明細票 (3)'!$B$7:$L$58</definedName>
    <definedName name="tukin_a">'社員マスタ'!$E$2:$E$28</definedName>
    <definedName name="家族手当">'社員マスタ'!$G:$G</definedName>
    <definedName name="介護保険">'社員マスタ'!$I:$I</definedName>
    <definedName name="基本給">'社員マスタ'!$C:$C</definedName>
    <definedName name="健康保険">'社員マスタ'!$H:$H</definedName>
    <definedName name="厚生年金">'社員マスタ'!$J:$J</definedName>
    <definedName name="残業時間" localSheetId="2">'明細票 (2)'!$D$13</definedName>
    <definedName name="残業時間" localSheetId="3">'明細票 (3)'!$D$13</definedName>
    <definedName name="残業時間">'明細票'!$D$13</definedName>
    <definedName name="残業時間1" localSheetId="2">'明細票 (2)'!$J$13</definedName>
    <definedName name="残業時間1" localSheetId="3">'明細票 (3)'!$J$13</definedName>
    <definedName name="残業時間1">'明細票'!$J$13</definedName>
    <definedName name="残業時間2" localSheetId="2">'明細票 (2)'!$D$39</definedName>
    <definedName name="残業時間2" localSheetId="3">'明細票 (3)'!$D$39</definedName>
    <definedName name="残業時間2">'明細票'!$D$39</definedName>
    <definedName name="残業時間3" localSheetId="2">'明細票 (2)'!$J$39</definedName>
    <definedName name="残業時間3" localSheetId="3">'明細票 (3)'!$J$39</definedName>
    <definedName name="残業時間3">'明細票'!$J$39</definedName>
    <definedName name="指名">'社員マスタ'!$B$2:$B$28</definedName>
    <definedName name="支給額計" localSheetId="2">'明細票 (2)'!$D$21</definedName>
    <definedName name="支給額計" localSheetId="3">'明細票 (3)'!$D$21</definedName>
    <definedName name="支給額計">'明細票'!$D$21</definedName>
    <definedName name="支給額計1" localSheetId="2">'明細票 (2)'!$J$21</definedName>
    <definedName name="支給額計1" localSheetId="3">'明細票 (3)'!$J$21</definedName>
    <definedName name="支給額計1">'明細票'!$J$21</definedName>
    <definedName name="支給月" localSheetId="2">'明細票 (2)'!$D$1</definedName>
    <definedName name="支給月" localSheetId="3">'明細票 (3)'!$D$1</definedName>
    <definedName name="支給月">'明細票'!$D$1</definedName>
    <definedName name="氏名">'社員マスタ'!$B:$B</definedName>
    <definedName name="住宅手当">'社員マスタ'!$F:$F</definedName>
    <definedName name="住民税">'社員マスタ'!$K:$K</definedName>
    <definedName name="通勤手当">'社員マスタ'!$E:$E</definedName>
    <definedName name="労働時間" localSheetId="2">'明細票 (2)'!$D$12</definedName>
    <definedName name="労働時間" localSheetId="3">'明細票 (3)'!$D$12</definedName>
    <definedName name="労働時間">'明細票'!$D$12</definedName>
    <definedName name="労働時間1" localSheetId="2">'明細票 (2)'!$J$12</definedName>
    <definedName name="労働時間1" localSheetId="3">'明細票 (3)'!$J$12</definedName>
    <definedName name="労働時間1">'明細票'!$J$12</definedName>
    <definedName name="労働時間2" localSheetId="2">'明細票 (2)'!$D$38</definedName>
    <definedName name="労働時間2" localSheetId="3">'明細票 (3)'!$D$38</definedName>
    <definedName name="労働時間2">'明細票'!$D$38</definedName>
    <definedName name="労働時間3" localSheetId="2">'明細票 (2)'!$J$38</definedName>
    <definedName name="労働時間3" localSheetId="3">'明細票 (3)'!$J$38</definedName>
    <definedName name="労働時間3">'明細票'!$J$38</definedName>
  </definedNames>
  <calcPr fullCalcOnLoad="1"/>
</workbook>
</file>

<file path=xl/sharedStrings.xml><?xml version="1.0" encoding="utf-8"?>
<sst xmlns="http://schemas.openxmlformats.org/spreadsheetml/2006/main" count="374" uniqueCount="92">
  <si>
    <t>氏名</t>
  </si>
  <si>
    <t>出勤日数</t>
  </si>
  <si>
    <t>欠勤日数</t>
  </si>
  <si>
    <t>基本給</t>
  </si>
  <si>
    <t>残業手当</t>
  </si>
  <si>
    <t>通勤手当</t>
  </si>
  <si>
    <t>住宅手当</t>
  </si>
  <si>
    <t>家族手当</t>
  </si>
  <si>
    <t>健康保険</t>
  </si>
  <si>
    <t>介護保険</t>
  </si>
  <si>
    <t>厚生年金</t>
  </si>
  <si>
    <t>雇用保険</t>
  </si>
  <si>
    <t>住民税</t>
  </si>
  <si>
    <t>差引支給額</t>
  </si>
  <si>
    <t>埼玉　太郎</t>
  </si>
  <si>
    <t>埼玉　花子</t>
  </si>
  <si>
    <t>埼玉　次郎</t>
  </si>
  <si>
    <t>埼玉　２男</t>
  </si>
  <si>
    <t>埼玉　３男</t>
  </si>
  <si>
    <t>埼玉　４男</t>
  </si>
  <si>
    <t>埼玉　５男</t>
  </si>
  <si>
    <t>埼玉　６男</t>
  </si>
  <si>
    <t>埼玉　７男</t>
  </si>
  <si>
    <t>東京　太郎</t>
  </si>
  <si>
    <t>東京　花子</t>
  </si>
  <si>
    <t>東京　次郎</t>
  </si>
  <si>
    <t>東京　２男</t>
  </si>
  <si>
    <t>東京　３男</t>
  </si>
  <si>
    <t>東京　４男</t>
  </si>
  <si>
    <t>東京　５男</t>
  </si>
  <si>
    <t>東京　６男</t>
  </si>
  <si>
    <t>東京　７男</t>
  </si>
  <si>
    <t>大坂　太郎</t>
  </si>
  <si>
    <t>大坂　花子</t>
  </si>
  <si>
    <t>大坂　次郎</t>
  </si>
  <si>
    <t>大坂　２男</t>
  </si>
  <si>
    <t>大坂　３男</t>
  </si>
  <si>
    <t>大坂　４男</t>
  </si>
  <si>
    <t>大坂　５男</t>
  </si>
  <si>
    <t>大坂　６男</t>
  </si>
  <si>
    <t>大坂　７男</t>
  </si>
  <si>
    <t>A001</t>
  </si>
  <si>
    <t>A011</t>
  </si>
  <si>
    <t>A020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</si>
  <si>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</si>
  <si>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</si>
  <si>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</si>
  <si>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</si>
  <si>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</si>
  <si>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</si>
  <si>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</si>
  <si>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</si>
  <si>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</si>
  <si>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A012</t>
  </si>
  <si>
    <t>A013</t>
  </si>
  <si>
    <t>A014</t>
  </si>
  <si>
    <t>A015</t>
  </si>
  <si>
    <t>A016</t>
  </si>
  <si>
    <t>A017</t>
  </si>
  <si>
    <t>A018</t>
  </si>
  <si>
    <t>A019</t>
  </si>
  <si>
    <t>A021</t>
  </si>
  <si>
    <t>A022</t>
  </si>
  <si>
    <t>A023</t>
  </si>
  <si>
    <t>A024</t>
  </si>
  <si>
    <t>A025</t>
  </si>
  <si>
    <t>A026</t>
  </si>
  <si>
    <t>A027</t>
  </si>
  <si>
    <t>：は手入力を行う</t>
  </si>
  <si>
    <t>：自動計算されます</t>
  </si>
  <si>
    <t>項目説明</t>
  </si>
  <si>
    <t>日</t>
  </si>
  <si>
    <t>労働時間</t>
  </si>
  <si>
    <t>時間外労働時間</t>
  </si>
  <si>
    <t>支給額計</t>
  </si>
  <si>
    <t>時間</t>
  </si>
  <si>
    <t>控除額計</t>
  </si>
  <si>
    <t>基本給：常勤者は社員マスタから表示、パートは社員マスタ・基本給＊労働時間の計算結果を表示</t>
  </si>
  <si>
    <t>：社員マスタの値をコードから索引して該当値が表示されます</t>
  </si>
  <si>
    <t>様</t>
  </si>
  <si>
    <t>a007</t>
  </si>
  <si>
    <t>a008</t>
  </si>
  <si>
    <t>b007</t>
  </si>
  <si>
    <t>支給年月</t>
  </si>
  <si>
    <t>対象者</t>
  </si>
  <si>
    <t>a006</t>
  </si>
  <si>
    <t>給与支給明細書</t>
  </si>
  <si>
    <t>part</t>
  </si>
  <si>
    <t>残業手当：常勤者は1か月の法定労働時間は173時間となっているので、時給単価＝基本給／173として計算します。</t>
  </si>
  <si>
    <t>パートは社員マスタの基本給＝時間単価とします。</t>
  </si>
  <si>
    <t>時給単価×１．２５×残業時間として算出しています</t>
  </si>
  <si>
    <t>created by 情報処理コンサルタント：ＯＡコーディネターズ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</si>
</sst>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"/>
  </numFmts>
  <fonts count="4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u val="single"/>
      <sz val="14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明朝"/>
      <family val="1"/>
    </font>
    <font>
      <b/>
      <u val="single"/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15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vertical="center"/>
    </xf>
    <xf numFmtId="55" fontId="8" fillId="0" borderId="0" xfId="0" applyNumberFormat="1" applyFont="1" applyBorder="1" applyAlignment="1">
      <alignment vertical="center"/>
    </xf>
    <xf numFmtId="0" fontId="3" fillId="1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22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3" fillId="15" borderId="11" xfId="0" applyNumberFormat="1" applyFont="1" applyFill="1" applyBorder="1" applyAlignment="1">
      <alignment horizontal="right" vertical="center"/>
    </xf>
    <xf numFmtId="176" fontId="0" fillId="15" borderId="11" xfId="0" applyNumberFormat="1" applyFill="1" applyBorder="1" applyAlignment="1">
      <alignment horizontal="right" vertical="center"/>
    </xf>
    <xf numFmtId="177" fontId="0" fillId="13" borderId="0" xfId="0" applyNumberFormat="1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left" vertical="center" indent="2"/>
    </xf>
    <xf numFmtId="176" fontId="3" fillId="33" borderId="22" xfId="0" applyNumberFormat="1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left" vertical="center" indent="3"/>
    </xf>
    <xf numFmtId="176" fontId="3" fillId="33" borderId="22" xfId="0" applyNumberFormat="1" applyFont="1" applyFill="1" applyBorder="1" applyAlignment="1">
      <alignment horizontal="left" vertical="center" indent="3"/>
    </xf>
    <xf numFmtId="0" fontId="29" fillId="0" borderId="0" xfId="43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59</xdr:row>
      <xdr:rowOff>0</xdr:rowOff>
    </xdr:from>
    <xdr:to>
      <xdr:col>9</xdr:col>
      <xdr:colOff>314325</xdr:colOff>
      <xdr:row>61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334625"/>
          <a:ext cx="1562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59</xdr:row>
      <xdr:rowOff>0</xdr:rowOff>
    </xdr:from>
    <xdr:to>
      <xdr:col>9</xdr:col>
      <xdr:colOff>314325</xdr:colOff>
      <xdr:row>61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334625"/>
          <a:ext cx="1562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59</xdr:row>
      <xdr:rowOff>0</xdr:rowOff>
    </xdr:from>
    <xdr:to>
      <xdr:col>9</xdr:col>
      <xdr:colOff>314325</xdr:colOff>
      <xdr:row>61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334625"/>
          <a:ext cx="1562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ac-aka.com/offic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ac-aka.com/offic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ac-aka.com/offic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8"/>
  <sheetViews>
    <sheetView zoomScalePageLayoutView="0" workbookViewId="0" topLeftCell="A1">
      <selection activeCell="N27" sqref="N27"/>
    </sheetView>
  </sheetViews>
  <sheetFormatPr defaultColWidth="8.796875" defaultRowHeight="14.25"/>
  <cols>
    <col min="2" max="2" width="13" style="0" customWidth="1"/>
    <col min="3" max="3" width="9.5" style="0" bestFit="1" customWidth="1"/>
    <col min="5" max="9" width="9.09765625" style="0" bestFit="1" customWidth="1"/>
    <col min="10" max="11" width="9.09765625" style="3" bestFit="1" customWidth="1"/>
    <col min="12" max="20" width="9" style="3" customWidth="1"/>
  </cols>
  <sheetData>
    <row r="1" spans="2:12" s="3" customFormat="1" ht="13.5">
      <c r="B1" s="3" t="s">
        <v>0</v>
      </c>
      <c r="C1" s="2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12</v>
      </c>
      <c r="L1" s="3" t="s">
        <v>87</v>
      </c>
    </row>
    <row r="2" spans="1:12" ht="13.5">
      <c r="A2" t="s">
        <v>41</v>
      </c>
      <c r="B2" t="s">
        <v>14</v>
      </c>
      <c r="C2" s="4">
        <v>200000</v>
      </c>
      <c r="D2" s="4"/>
      <c r="E2" s="4">
        <v>12000</v>
      </c>
      <c r="F2" s="4">
        <v>10000</v>
      </c>
      <c r="G2" s="4">
        <v>5000</v>
      </c>
      <c r="H2" s="5">
        <v>7000</v>
      </c>
      <c r="I2" s="4">
        <v>2500</v>
      </c>
      <c r="J2" s="5">
        <v>17000</v>
      </c>
      <c r="K2" s="5">
        <v>4000</v>
      </c>
      <c r="L2" s="3">
        <v>0</v>
      </c>
    </row>
    <row r="3" spans="1:12" ht="13.5">
      <c r="A3" t="s">
        <v>44</v>
      </c>
      <c r="B3" t="s">
        <v>15</v>
      </c>
      <c r="C3" s="4">
        <v>200000</v>
      </c>
      <c r="D3" s="4"/>
      <c r="E3" s="4">
        <v>12000</v>
      </c>
      <c r="F3" s="4">
        <v>10000</v>
      </c>
      <c r="G3" s="4">
        <v>5000</v>
      </c>
      <c r="H3" s="5">
        <v>7000</v>
      </c>
      <c r="I3" s="4">
        <v>2500</v>
      </c>
      <c r="J3" s="5">
        <v>17000</v>
      </c>
      <c r="K3" s="5">
        <v>4000</v>
      </c>
      <c r="L3" s="3">
        <v>0</v>
      </c>
    </row>
    <row r="4" spans="1:12" ht="13.5">
      <c r="A4" t="s">
        <v>45</v>
      </c>
      <c r="B4" t="s">
        <v>16</v>
      </c>
      <c r="C4" s="4">
        <v>200000</v>
      </c>
      <c r="D4" s="4"/>
      <c r="E4" s="4">
        <v>12000</v>
      </c>
      <c r="F4" s="4">
        <v>10000</v>
      </c>
      <c r="G4" s="4">
        <v>5000</v>
      </c>
      <c r="H4" s="5">
        <v>7000</v>
      </c>
      <c r="I4" s="4">
        <v>2500</v>
      </c>
      <c r="J4" s="5">
        <v>17000</v>
      </c>
      <c r="K4" s="5">
        <v>4000</v>
      </c>
      <c r="L4" s="3">
        <v>0</v>
      </c>
    </row>
    <row r="5" spans="1:12" ht="13.5">
      <c r="A5" t="s">
        <v>46</v>
      </c>
      <c r="B5" t="s">
        <v>17</v>
      </c>
      <c r="C5" s="4">
        <v>200000</v>
      </c>
      <c r="D5" s="4"/>
      <c r="E5" s="4">
        <v>12000</v>
      </c>
      <c r="F5" s="4">
        <v>10000</v>
      </c>
      <c r="G5" s="4">
        <v>5000</v>
      </c>
      <c r="H5" s="5">
        <v>7000</v>
      </c>
      <c r="I5" s="4">
        <v>2500</v>
      </c>
      <c r="J5" s="5">
        <v>17000</v>
      </c>
      <c r="K5" s="5">
        <v>4000</v>
      </c>
      <c r="L5" s="3">
        <v>0</v>
      </c>
    </row>
    <row r="6" spans="1:12" ht="13.5">
      <c r="A6" t="s">
        <v>47</v>
      </c>
      <c r="B6" t="s">
        <v>18</v>
      </c>
      <c r="C6" s="4">
        <v>200000</v>
      </c>
      <c r="D6" s="4"/>
      <c r="E6" s="4">
        <v>12000</v>
      </c>
      <c r="F6" s="4">
        <v>10000</v>
      </c>
      <c r="G6" s="4">
        <v>5000</v>
      </c>
      <c r="H6" s="5">
        <v>7000</v>
      </c>
      <c r="I6" s="4">
        <v>2500</v>
      </c>
      <c r="J6" s="5">
        <v>17000</v>
      </c>
      <c r="K6" s="5">
        <v>4000</v>
      </c>
      <c r="L6" s="3">
        <v>0</v>
      </c>
    </row>
    <row r="7" spans="1:12" ht="13.5">
      <c r="A7" t="s">
        <v>48</v>
      </c>
      <c r="B7" t="s">
        <v>19</v>
      </c>
      <c r="C7" s="4">
        <v>960</v>
      </c>
      <c r="D7" s="4"/>
      <c r="E7" s="4">
        <v>12000</v>
      </c>
      <c r="F7" s="4">
        <v>10000</v>
      </c>
      <c r="G7" s="4">
        <v>5000</v>
      </c>
      <c r="H7" s="5">
        <v>7000</v>
      </c>
      <c r="I7" s="4">
        <v>2500</v>
      </c>
      <c r="J7" s="5">
        <v>17000</v>
      </c>
      <c r="K7" s="5">
        <v>4000</v>
      </c>
      <c r="L7" s="3">
        <v>1</v>
      </c>
    </row>
    <row r="8" spans="1:12" ht="13.5">
      <c r="A8" t="s">
        <v>49</v>
      </c>
      <c r="B8" t="s">
        <v>20</v>
      </c>
      <c r="C8" s="4">
        <v>200000</v>
      </c>
      <c r="D8" s="4"/>
      <c r="E8" s="4">
        <v>12000</v>
      </c>
      <c r="F8" s="4">
        <v>10000</v>
      </c>
      <c r="G8" s="4">
        <v>5000</v>
      </c>
      <c r="H8" s="5">
        <v>7000</v>
      </c>
      <c r="I8" s="4">
        <v>2500</v>
      </c>
      <c r="J8" s="5">
        <v>17000</v>
      </c>
      <c r="K8" s="5">
        <v>4000</v>
      </c>
      <c r="L8" s="3">
        <v>0</v>
      </c>
    </row>
    <row r="9" spans="1:12" ht="13.5">
      <c r="A9" t="s">
        <v>50</v>
      </c>
      <c r="B9" t="s">
        <v>21</v>
      </c>
      <c r="C9" s="4">
        <v>200000</v>
      </c>
      <c r="D9" s="4">
        <v>11</v>
      </c>
      <c r="E9" s="4">
        <v>12000</v>
      </c>
      <c r="F9" s="4">
        <v>10000</v>
      </c>
      <c r="G9" s="4">
        <v>5000</v>
      </c>
      <c r="H9" s="5">
        <v>7000</v>
      </c>
      <c r="I9" s="4">
        <v>2500</v>
      </c>
      <c r="J9" s="5">
        <v>17000</v>
      </c>
      <c r="K9" s="5">
        <v>4000</v>
      </c>
      <c r="L9" s="3">
        <v>0</v>
      </c>
    </row>
    <row r="10" spans="1:12" ht="13.5">
      <c r="A10" t="s">
        <v>51</v>
      </c>
      <c r="B10" t="s">
        <v>22</v>
      </c>
      <c r="C10" s="4">
        <v>200000</v>
      </c>
      <c r="D10" s="4"/>
      <c r="E10" s="4">
        <v>12000</v>
      </c>
      <c r="F10" s="4">
        <v>10000</v>
      </c>
      <c r="G10" s="4">
        <v>5000</v>
      </c>
      <c r="H10" s="5">
        <v>7000</v>
      </c>
      <c r="I10" s="4">
        <v>2500</v>
      </c>
      <c r="J10" s="5">
        <v>17000</v>
      </c>
      <c r="K10" s="5">
        <v>4000</v>
      </c>
      <c r="L10" s="3">
        <v>0</v>
      </c>
    </row>
    <row r="11" spans="1:12" ht="13.5">
      <c r="A11" t="s">
        <v>52</v>
      </c>
      <c r="B11" t="s">
        <v>23</v>
      </c>
      <c r="C11" s="4">
        <v>250000</v>
      </c>
      <c r="D11" s="4"/>
      <c r="E11" s="4">
        <v>12000</v>
      </c>
      <c r="F11" s="4">
        <v>10000</v>
      </c>
      <c r="G11" s="4">
        <v>5000</v>
      </c>
      <c r="H11" s="5">
        <v>7000</v>
      </c>
      <c r="I11" s="4">
        <v>2500</v>
      </c>
      <c r="J11" s="5">
        <v>17000</v>
      </c>
      <c r="K11" s="5">
        <v>4000</v>
      </c>
      <c r="L11" s="3">
        <v>0</v>
      </c>
    </row>
    <row r="12" spans="1:12" ht="13.5">
      <c r="A12" t="s">
        <v>42</v>
      </c>
      <c r="B12" t="s">
        <v>24</v>
      </c>
      <c r="C12" s="4">
        <v>200001</v>
      </c>
      <c r="D12" s="4"/>
      <c r="E12" s="4">
        <v>13400</v>
      </c>
      <c r="F12" s="4">
        <v>10000</v>
      </c>
      <c r="G12" s="4">
        <v>5000</v>
      </c>
      <c r="H12" s="5">
        <v>7000</v>
      </c>
      <c r="I12" s="4">
        <v>2500</v>
      </c>
      <c r="J12" s="5">
        <v>17000</v>
      </c>
      <c r="K12" s="5">
        <v>3999</v>
      </c>
      <c r="L12" s="3">
        <v>0</v>
      </c>
    </row>
    <row r="13" spans="1:12" ht="13.5">
      <c r="A13" t="s">
        <v>53</v>
      </c>
      <c r="B13" t="s">
        <v>25</v>
      </c>
      <c r="C13" s="4">
        <v>200000</v>
      </c>
      <c r="D13" s="4"/>
      <c r="E13" s="4">
        <v>12000</v>
      </c>
      <c r="F13" s="4">
        <v>10000</v>
      </c>
      <c r="G13" s="4">
        <v>5000</v>
      </c>
      <c r="H13" s="5">
        <v>7000</v>
      </c>
      <c r="I13" s="4">
        <v>2500</v>
      </c>
      <c r="J13" s="5">
        <v>17000</v>
      </c>
      <c r="K13" s="5">
        <v>4000</v>
      </c>
      <c r="L13" s="3">
        <v>0</v>
      </c>
    </row>
    <row r="14" spans="1:12" ht="13.5">
      <c r="A14" t="s">
        <v>54</v>
      </c>
      <c r="B14" t="s">
        <v>26</v>
      </c>
      <c r="C14" s="4">
        <v>200000</v>
      </c>
      <c r="D14" s="4"/>
      <c r="E14" s="4">
        <v>12000</v>
      </c>
      <c r="F14" s="4">
        <v>10000</v>
      </c>
      <c r="G14" s="4">
        <v>5000</v>
      </c>
      <c r="H14" s="5">
        <v>7000</v>
      </c>
      <c r="I14" s="4">
        <v>2500</v>
      </c>
      <c r="J14" s="5">
        <v>17000</v>
      </c>
      <c r="K14" s="5">
        <v>4000</v>
      </c>
      <c r="L14" s="3">
        <v>0</v>
      </c>
    </row>
    <row r="15" spans="1:12" ht="13.5">
      <c r="A15" t="s">
        <v>55</v>
      </c>
      <c r="B15" t="s">
        <v>27</v>
      </c>
      <c r="C15" s="4">
        <v>200000</v>
      </c>
      <c r="D15" s="4"/>
      <c r="E15" s="4">
        <v>12000</v>
      </c>
      <c r="F15" s="4">
        <v>10000</v>
      </c>
      <c r="G15" s="4">
        <v>5000</v>
      </c>
      <c r="H15" s="5">
        <v>7000</v>
      </c>
      <c r="I15" s="4">
        <v>2500</v>
      </c>
      <c r="J15" s="5">
        <v>17000</v>
      </c>
      <c r="K15" s="5">
        <v>4000</v>
      </c>
      <c r="L15" s="3">
        <v>0</v>
      </c>
    </row>
    <row r="16" spans="1:12" ht="13.5">
      <c r="A16" t="s">
        <v>56</v>
      </c>
      <c r="B16" t="s">
        <v>28</v>
      </c>
      <c r="C16" s="4">
        <v>200000</v>
      </c>
      <c r="D16" s="4"/>
      <c r="E16" s="4">
        <v>12000</v>
      </c>
      <c r="F16" s="4">
        <v>10000</v>
      </c>
      <c r="G16" s="4">
        <v>5000</v>
      </c>
      <c r="H16" s="5">
        <v>7000</v>
      </c>
      <c r="I16" s="4">
        <v>2500</v>
      </c>
      <c r="J16" s="5">
        <v>17000</v>
      </c>
      <c r="K16" s="5">
        <v>4000</v>
      </c>
      <c r="L16" s="3">
        <v>0</v>
      </c>
    </row>
    <row r="17" spans="1:12" ht="13.5">
      <c r="A17" t="s">
        <v>57</v>
      </c>
      <c r="B17" t="s">
        <v>29</v>
      </c>
      <c r="C17" s="4">
        <v>200000</v>
      </c>
      <c r="D17" s="4"/>
      <c r="E17" s="4">
        <v>12000</v>
      </c>
      <c r="F17" s="4">
        <v>10000</v>
      </c>
      <c r="G17" s="4">
        <v>5000</v>
      </c>
      <c r="H17" s="5">
        <v>7000</v>
      </c>
      <c r="I17" s="4">
        <v>2500</v>
      </c>
      <c r="J17" s="5">
        <v>17000</v>
      </c>
      <c r="K17" s="5">
        <v>4000</v>
      </c>
      <c r="L17" s="3">
        <v>0</v>
      </c>
    </row>
    <row r="18" spans="1:12" ht="13.5">
      <c r="A18" t="s">
        <v>58</v>
      </c>
      <c r="B18" t="s">
        <v>30</v>
      </c>
      <c r="C18" s="4">
        <v>200000</v>
      </c>
      <c r="D18" s="4"/>
      <c r="E18" s="4">
        <v>12000</v>
      </c>
      <c r="F18" s="4">
        <v>10000</v>
      </c>
      <c r="G18" s="4">
        <v>5000</v>
      </c>
      <c r="H18" s="5">
        <v>7000</v>
      </c>
      <c r="I18" s="4">
        <v>2500</v>
      </c>
      <c r="J18" s="5">
        <v>17000</v>
      </c>
      <c r="K18" s="5">
        <v>4000</v>
      </c>
      <c r="L18" s="3">
        <v>0</v>
      </c>
    </row>
    <row r="19" spans="1:12" ht="13.5">
      <c r="A19" t="s">
        <v>59</v>
      </c>
      <c r="B19" t="s">
        <v>31</v>
      </c>
      <c r="C19" s="4">
        <v>200000</v>
      </c>
      <c r="D19" s="4"/>
      <c r="E19" s="4">
        <v>12000</v>
      </c>
      <c r="F19" s="4">
        <v>10000</v>
      </c>
      <c r="G19" s="4">
        <v>5000</v>
      </c>
      <c r="H19" s="5">
        <v>7000</v>
      </c>
      <c r="I19" s="4">
        <v>2500</v>
      </c>
      <c r="J19" s="5">
        <v>17000</v>
      </c>
      <c r="K19" s="5">
        <v>4000</v>
      </c>
      <c r="L19" s="3">
        <v>0</v>
      </c>
    </row>
    <row r="20" spans="1:12" ht="13.5">
      <c r="A20" t="s">
        <v>60</v>
      </c>
      <c r="B20" t="s">
        <v>32</v>
      </c>
      <c r="C20" s="4">
        <v>240000</v>
      </c>
      <c r="D20" s="4"/>
      <c r="E20" s="4">
        <v>12000</v>
      </c>
      <c r="F20" s="4">
        <v>10000</v>
      </c>
      <c r="G20" s="4">
        <v>5000</v>
      </c>
      <c r="H20" s="5">
        <v>7000</v>
      </c>
      <c r="I20" s="4">
        <v>2500</v>
      </c>
      <c r="J20" s="5">
        <v>17000</v>
      </c>
      <c r="K20" s="5">
        <v>4000</v>
      </c>
      <c r="L20" s="3">
        <v>0</v>
      </c>
    </row>
    <row r="21" spans="1:12" ht="13.5">
      <c r="A21" t="s">
        <v>43</v>
      </c>
      <c r="B21" t="s">
        <v>33</v>
      </c>
      <c r="C21" s="4">
        <v>1080</v>
      </c>
      <c r="D21" s="4"/>
      <c r="E21" s="4">
        <v>13400</v>
      </c>
      <c r="F21" s="4">
        <v>10000</v>
      </c>
      <c r="G21" s="4">
        <v>5000</v>
      </c>
      <c r="H21" s="5">
        <v>7000</v>
      </c>
      <c r="I21" s="4">
        <v>2500</v>
      </c>
      <c r="J21" s="5">
        <v>17000</v>
      </c>
      <c r="K21" s="5">
        <v>4000</v>
      </c>
      <c r="L21" s="3">
        <v>1</v>
      </c>
    </row>
    <row r="22" spans="1:12" ht="13.5">
      <c r="A22" t="s">
        <v>61</v>
      </c>
      <c r="B22" t="s">
        <v>34</v>
      </c>
      <c r="C22" s="4">
        <v>200000</v>
      </c>
      <c r="D22" s="4"/>
      <c r="E22" s="4">
        <v>12000</v>
      </c>
      <c r="F22" s="4">
        <v>10000</v>
      </c>
      <c r="G22" s="4">
        <v>5000</v>
      </c>
      <c r="H22" s="5">
        <v>7000</v>
      </c>
      <c r="I22" s="4">
        <v>2500</v>
      </c>
      <c r="J22" s="5">
        <v>17000</v>
      </c>
      <c r="K22" s="5">
        <v>4000</v>
      </c>
      <c r="L22" s="3">
        <v>0</v>
      </c>
    </row>
    <row r="23" spans="1:12" ht="13.5">
      <c r="A23" t="s">
        <v>62</v>
      </c>
      <c r="B23" t="s">
        <v>35</v>
      </c>
      <c r="C23" s="4">
        <v>200000</v>
      </c>
      <c r="D23" s="4"/>
      <c r="E23" s="4">
        <v>12000</v>
      </c>
      <c r="F23" s="4">
        <v>10000</v>
      </c>
      <c r="G23" s="4">
        <v>5000</v>
      </c>
      <c r="H23" s="5">
        <v>7000</v>
      </c>
      <c r="I23" s="4">
        <v>2500</v>
      </c>
      <c r="J23" s="5">
        <v>17000</v>
      </c>
      <c r="K23" s="5">
        <v>4000</v>
      </c>
      <c r="L23" s="3">
        <v>0</v>
      </c>
    </row>
    <row r="24" spans="1:12" ht="13.5">
      <c r="A24" t="s">
        <v>63</v>
      </c>
      <c r="B24" t="s">
        <v>36</v>
      </c>
      <c r="C24" s="4">
        <v>200000</v>
      </c>
      <c r="D24" s="4"/>
      <c r="E24" s="4">
        <v>12000</v>
      </c>
      <c r="F24" s="4">
        <v>10000</v>
      </c>
      <c r="G24" s="4">
        <v>5000</v>
      </c>
      <c r="H24" s="5">
        <v>7000</v>
      </c>
      <c r="I24" s="4">
        <v>2500</v>
      </c>
      <c r="J24" s="5">
        <v>17000</v>
      </c>
      <c r="K24" s="5">
        <v>4000</v>
      </c>
      <c r="L24" s="3">
        <v>0</v>
      </c>
    </row>
    <row r="25" spans="1:12" ht="13.5">
      <c r="A25" t="s">
        <v>64</v>
      </c>
      <c r="B25" t="s">
        <v>37</v>
      </c>
      <c r="C25" s="4">
        <v>200000</v>
      </c>
      <c r="D25" s="4"/>
      <c r="E25" s="4">
        <v>12000</v>
      </c>
      <c r="F25" s="4">
        <v>10000</v>
      </c>
      <c r="G25" s="4">
        <v>5000</v>
      </c>
      <c r="H25" s="5">
        <v>7000</v>
      </c>
      <c r="I25" s="4">
        <v>2500</v>
      </c>
      <c r="J25" s="5">
        <v>17000</v>
      </c>
      <c r="K25" s="5">
        <v>4000</v>
      </c>
      <c r="L25" s="3">
        <v>0</v>
      </c>
    </row>
    <row r="26" spans="1:12" ht="13.5">
      <c r="A26" t="s">
        <v>65</v>
      </c>
      <c r="B26" t="s">
        <v>38</v>
      </c>
      <c r="C26" s="4">
        <v>200000</v>
      </c>
      <c r="D26" s="4"/>
      <c r="E26" s="4">
        <v>12000</v>
      </c>
      <c r="F26" s="4">
        <v>10000</v>
      </c>
      <c r="G26" s="4">
        <v>5000</v>
      </c>
      <c r="H26" s="5">
        <v>7000</v>
      </c>
      <c r="I26" s="4">
        <v>2500</v>
      </c>
      <c r="J26" s="5">
        <v>17000</v>
      </c>
      <c r="K26" s="5">
        <v>4000</v>
      </c>
      <c r="L26" s="3">
        <v>0</v>
      </c>
    </row>
    <row r="27" spans="1:12" ht="13.5">
      <c r="A27" t="s">
        <v>66</v>
      </c>
      <c r="B27" t="s">
        <v>39</v>
      </c>
      <c r="C27" s="4">
        <v>200000</v>
      </c>
      <c r="D27" s="4"/>
      <c r="E27" s="4">
        <v>12000</v>
      </c>
      <c r="F27" s="4">
        <v>10000</v>
      </c>
      <c r="G27" s="4">
        <v>5000</v>
      </c>
      <c r="H27" s="5">
        <v>7000</v>
      </c>
      <c r="I27" s="4">
        <v>2500</v>
      </c>
      <c r="J27" s="5">
        <v>17000</v>
      </c>
      <c r="K27" s="5">
        <v>4000</v>
      </c>
      <c r="L27" s="3">
        <v>0</v>
      </c>
    </row>
    <row r="28" spans="1:12" ht="13.5">
      <c r="A28" t="s">
        <v>67</v>
      </c>
      <c r="B28" t="s">
        <v>40</v>
      </c>
      <c r="C28" s="4">
        <v>200000</v>
      </c>
      <c r="D28" s="4"/>
      <c r="E28" s="4">
        <v>12000</v>
      </c>
      <c r="F28" s="4">
        <v>10000</v>
      </c>
      <c r="G28" s="4">
        <v>5000</v>
      </c>
      <c r="H28" s="5">
        <v>7000</v>
      </c>
      <c r="I28" s="4">
        <v>2500</v>
      </c>
      <c r="J28" s="5">
        <v>17000</v>
      </c>
      <c r="K28" s="5">
        <v>4000</v>
      </c>
      <c r="L28" s="3">
        <v>0</v>
      </c>
    </row>
  </sheetData>
  <sheetProtection/>
  <dataValidations count="1">
    <dataValidation allowBlank="1" showInputMessage="1" showErrorMessage="1" imeMode="on" sqref="C1:G1 I1 H1:H28 J1:K28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Y71"/>
  <sheetViews>
    <sheetView zoomScalePageLayoutView="0" workbookViewId="0" topLeftCell="A1">
      <selection activeCell="P41" sqref="P41"/>
    </sheetView>
  </sheetViews>
  <sheetFormatPr defaultColWidth="8.796875" defaultRowHeight="14.25"/>
  <cols>
    <col min="1" max="1" width="3.59765625" style="0" customWidth="1"/>
    <col min="2" max="2" width="4.19921875" style="0" customWidth="1"/>
    <col min="3" max="3" width="14.19921875" style="0" customWidth="1"/>
    <col min="4" max="4" width="6.3984375" style="0" customWidth="1"/>
    <col min="5" max="5" width="7.69921875" style="0" customWidth="1"/>
    <col min="6" max="6" width="3.69921875" style="0" customWidth="1"/>
    <col min="7" max="7" width="4.19921875" style="0" customWidth="1"/>
    <col min="8" max="8" width="5" style="0" customWidth="1"/>
    <col min="9" max="9" width="13" style="0" customWidth="1"/>
    <col min="10" max="10" width="6.3984375" style="0" customWidth="1"/>
    <col min="11" max="11" width="7.5" style="0" customWidth="1"/>
    <col min="12" max="12" width="4.09765625" style="0" customWidth="1"/>
  </cols>
  <sheetData>
    <row r="1" spans="3:5" ht="14.25">
      <c r="C1" s="39" t="s">
        <v>83</v>
      </c>
      <c r="D1" s="48">
        <v>43709</v>
      </c>
      <c r="E1" s="48"/>
    </row>
    <row r="2" spans="3:9" ht="19.5">
      <c r="C2" s="39" t="s">
        <v>84</v>
      </c>
      <c r="D2" s="49" t="s">
        <v>85</v>
      </c>
      <c r="E2" s="49"/>
      <c r="I2" s="63" t="s">
        <v>91</v>
      </c>
    </row>
    <row r="3" spans="4:5" ht="13.5">
      <c r="D3" s="49" t="s">
        <v>80</v>
      </c>
      <c r="E3" s="49"/>
    </row>
    <row r="4" spans="4:5" ht="13.5">
      <c r="D4" s="49" t="s">
        <v>82</v>
      </c>
      <c r="E4" s="49"/>
    </row>
    <row r="5" spans="4:5" ht="13.5">
      <c r="D5" s="49" t="s">
        <v>81</v>
      </c>
      <c r="E5" s="49"/>
    </row>
    <row r="7" spans="2:12" ht="13.5">
      <c r="B7" s="8"/>
      <c r="C7" s="13"/>
      <c r="D7" s="13"/>
      <c r="E7" s="13"/>
      <c r="F7" s="14"/>
      <c r="H7" s="8"/>
      <c r="I7" s="13"/>
      <c r="J7" s="13"/>
      <c r="K7" s="13"/>
      <c r="L7" s="14"/>
    </row>
    <row r="8" spans="2:12" ht="13.5">
      <c r="B8" s="15"/>
      <c r="C8" s="40">
        <f>支給月</f>
        <v>43709</v>
      </c>
      <c r="D8" s="42" t="s">
        <v>86</v>
      </c>
      <c r="E8" s="42"/>
      <c r="F8" s="17"/>
      <c r="H8" s="15"/>
      <c r="I8" s="40">
        <f>支給月</f>
        <v>43709</v>
      </c>
      <c r="J8" s="42" t="s">
        <v>86</v>
      </c>
      <c r="K8" s="42"/>
      <c r="L8" s="17"/>
    </row>
    <row r="9" spans="2:12" ht="17.25">
      <c r="B9" s="15"/>
      <c r="C9" s="57" t="str">
        <f>LOOKUP(ncd,[0]!code_all,[0]!氏名)</f>
        <v>埼玉　３男</v>
      </c>
      <c r="D9" s="58"/>
      <c r="E9" s="36" t="s">
        <v>79</v>
      </c>
      <c r="F9" s="17"/>
      <c r="H9" s="15"/>
      <c r="I9" s="56" t="str">
        <f>LOOKUP(ncd2,[0]!code_all,[0]!氏名)</f>
        <v>埼玉　４男</v>
      </c>
      <c r="J9" s="56"/>
      <c r="K9" s="16" t="s">
        <v>79</v>
      </c>
      <c r="L9" s="17"/>
    </row>
    <row r="10" spans="2:12" ht="13.5">
      <c r="B10" s="9"/>
      <c r="C10" s="2" t="s">
        <v>1</v>
      </c>
      <c r="D10" s="41">
        <v>15</v>
      </c>
      <c r="E10" s="2" t="s">
        <v>71</v>
      </c>
      <c r="F10" s="18"/>
      <c r="H10" s="9"/>
      <c r="I10" s="2" t="s">
        <v>1</v>
      </c>
      <c r="J10" s="41">
        <v>15</v>
      </c>
      <c r="K10" s="1" t="s">
        <v>71</v>
      </c>
      <c r="L10" s="18"/>
    </row>
    <row r="11" spans="2:12" ht="13.5">
      <c r="B11" s="9"/>
      <c r="C11" s="2" t="s">
        <v>2</v>
      </c>
      <c r="D11" s="41">
        <v>0</v>
      </c>
      <c r="E11" s="2" t="s">
        <v>71</v>
      </c>
      <c r="F11" s="18"/>
      <c r="H11" s="9"/>
      <c r="I11" s="2" t="s">
        <v>2</v>
      </c>
      <c r="J11" s="41">
        <v>0</v>
      </c>
      <c r="K11" s="1" t="s">
        <v>71</v>
      </c>
      <c r="L11" s="18"/>
    </row>
    <row r="12" spans="2:12" ht="13.5">
      <c r="B12" s="9"/>
      <c r="C12" s="2" t="s">
        <v>72</v>
      </c>
      <c r="D12" s="41">
        <v>120</v>
      </c>
      <c r="E12" s="38" t="s">
        <v>75</v>
      </c>
      <c r="F12" s="18"/>
      <c r="H12" s="9"/>
      <c r="I12" s="2" t="s">
        <v>72</v>
      </c>
      <c r="J12" s="41">
        <v>1</v>
      </c>
      <c r="K12" s="28" t="s">
        <v>75</v>
      </c>
      <c r="L12" s="18"/>
    </row>
    <row r="13" spans="2:12" ht="13.5">
      <c r="B13" s="37"/>
      <c r="C13" s="2" t="s">
        <v>73</v>
      </c>
      <c r="D13" s="41">
        <v>5</v>
      </c>
      <c r="E13" s="38" t="s">
        <v>75</v>
      </c>
      <c r="F13" s="18"/>
      <c r="H13" s="9"/>
      <c r="I13" s="29" t="s">
        <v>73</v>
      </c>
      <c r="J13" s="41">
        <v>0</v>
      </c>
      <c r="K13" s="28" t="s">
        <v>75</v>
      </c>
      <c r="L13" s="18"/>
    </row>
    <row r="14" spans="2:12" ht="13.5">
      <c r="B14" s="9"/>
      <c r="C14" s="11"/>
      <c r="D14" s="6"/>
      <c r="E14" s="12"/>
      <c r="F14" s="18"/>
      <c r="H14" s="9"/>
      <c r="I14" s="11"/>
      <c r="J14" s="6"/>
      <c r="K14" s="12"/>
      <c r="L14" s="18"/>
    </row>
    <row r="15" spans="2:12" ht="13.5">
      <c r="B15" s="9"/>
      <c r="C15" s="2" t="s">
        <v>3</v>
      </c>
      <c r="D15" s="43">
        <f>IF(LOOKUP(ncd,[0]!code_all,[0]!part)=0,LOOKUP(ncd,[0]!code_all,[0]!kihon_a),LOOKUP(ncd,[0]!code_all,[0]!kihon_a)*労働時間)</f>
        <v>115200</v>
      </c>
      <c r="E15" s="44"/>
      <c r="F15" s="18"/>
      <c r="H15" s="9"/>
      <c r="I15" s="2" t="s">
        <v>3</v>
      </c>
      <c r="J15" s="43">
        <f>IF(LOOKUP(ncd2,[0]!code_all,[0]!part)=0,LOOKUP(ncd2,[0]!code_all,[0]!kihon_a),LOOKUP(ncd,[0]!code_all,[0]!kihon_a)*労働時間1)</f>
        <v>200000</v>
      </c>
      <c r="K15" s="44"/>
      <c r="L15" s="18"/>
    </row>
    <row r="16" spans="2:12" ht="13.5">
      <c r="B16" s="9"/>
      <c r="C16" s="2" t="s">
        <v>4</v>
      </c>
      <c r="D16" s="43">
        <f>IF(LOOKUP(ncd,[0]!code_all,[0]!part)=0,ROUND(LOOKUP(ncd,[0]!code_all,[0]!kihon_a)/173*1.25*残業時間,0),ROUND(LOOKUP(ncd,[0]!code_all,[0]!kihon_a)*1.25,0))</f>
        <v>1200</v>
      </c>
      <c r="E16" s="45"/>
      <c r="F16" s="18"/>
      <c r="H16" s="9"/>
      <c r="I16" s="2" t="s">
        <v>4</v>
      </c>
      <c r="J16" s="52">
        <f>IF(LOOKUP(ncd2,[0]!code_all,[0]!part)=0,ROUND(LOOKUP(ncd2,[0]!code_all,[0]!kihon_a)/173*1.25*残業時間1,0),ROUND(LOOKUP(ncd2,[0]!code_all,[0]!kihon_a)*1.25,0))</f>
        <v>0</v>
      </c>
      <c r="K16" s="53"/>
      <c r="L16" s="18"/>
    </row>
    <row r="17" spans="2:12" ht="13.5">
      <c r="B17" s="9"/>
      <c r="C17" s="30" t="s">
        <v>5</v>
      </c>
      <c r="D17" s="46">
        <f>LOOKUP(ncd,[0]!code_all,[0]!tukin_a)</f>
        <v>12000</v>
      </c>
      <c r="E17" s="47"/>
      <c r="F17" s="18"/>
      <c r="H17" s="9"/>
      <c r="I17" s="30" t="s">
        <v>5</v>
      </c>
      <c r="J17" s="46">
        <f>LOOKUP(ncd2,[0]!code_all,[0]!tukin_a)</f>
        <v>12000</v>
      </c>
      <c r="K17" s="47"/>
      <c r="L17" s="18"/>
    </row>
    <row r="18" spans="2:12" ht="13.5">
      <c r="B18" s="9"/>
      <c r="C18" s="2" t="s">
        <v>6</v>
      </c>
      <c r="D18" s="46">
        <f>LOOKUP(ncd2,[0]!code_all,[0]!jyutaku_a)</f>
        <v>10000</v>
      </c>
      <c r="E18" s="47"/>
      <c r="F18" s="18"/>
      <c r="H18" s="9"/>
      <c r="I18" s="2" t="s">
        <v>6</v>
      </c>
      <c r="J18" s="46">
        <f>LOOKUP(ncd2,[0]!code_all,[0]!jyutaku_a)</f>
        <v>10000</v>
      </c>
      <c r="K18" s="47"/>
      <c r="L18" s="18"/>
    </row>
    <row r="19" spans="2:12" ht="13.5">
      <c r="B19" s="9"/>
      <c r="C19" s="2" t="s">
        <v>7</v>
      </c>
      <c r="D19" s="46">
        <f>LOOKUP(ncd,[0]!code_all,[0]!kazoku_a)</f>
        <v>5000</v>
      </c>
      <c r="E19" s="47"/>
      <c r="F19" s="18"/>
      <c r="H19" s="9"/>
      <c r="I19" s="2" t="s">
        <v>7</v>
      </c>
      <c r="J19" s="46">
        <f>LOOKUP(ncd2,[0]!code_all,[0]!kazoku_a)</f>
        <v>5000</v>
      </c>
      <c r="K19" s="47"/>
      <c r="L19" s="18"/>
    </row>
    <row r="20" spans="2:12" ht="13.5">
      <c r="B20" s="9"/>
      <c r="C20" s="2"/>
      <c r="D20" s="59"/>
      <c r="E20" s="60"/>
      <c r="F20" s="18"/>
      <c r="H20" s="9"/>
      <c r="I20" s="2"/>
      <c r="J20" s="54"/>
      <c r="K20" s="55"/>
      <c r="L20" s="18"/>
    </row>
    <row r="21" spans="2:12" ht="13.5">
      <c r="B21" s="9"/>
      <c r="C21" s="31" t="s">
        <v>74</v>
      </c>
      <c r="D21" s="52">
        <f>SUM(D15:E20)</f>
        <v>143400</v>
      </c>
      <c r="E21" s="53"/>
      <c r="F21" s="18"/>
      <c r="H21" s="9"/>
      <c r="I21" s="31" t="s">
        <v>74</v>
      </c>
      <c r="J21" s="52">
        <f>SUM(J15:K20)</f>
        <v>227000</v>
      </c>
      <c r="K21" s="53"/>
      <c r="L21" s="18"/>
    </row>
    <row r="22" spans="2:12" ht="13.5">
      <c r="B22" s="9"/>
      <c r="C22" s="7"/>
      <c r="D22" s="21"/>
      <c r="E22" s="21"/>
      <c r="F22" s="18"/>
      <c r="H22" s="9"/>
      <c r="I22" s="7"/>
      <c r="J22" s="54"/>
      <c r="K22" s="55"/>
      <c r="L22" s="18"/>
    </row>
    <row r="23" spans="2:12" ht="13.5">
      <c r="B23" s="9"/>
      <c r="C23" s="2" t="s">
        <v>8</v>
      </c>
      <c r="D23" s="46">
        <f>LOOKUP(ncd,[0]!code_all,[0]!tukin_a)</f>
        <v>12000</v>
      </c>
      <c r="E23" s="47"/>
      <c r="F23" s="18"/>
      <c r="H23" s="9"/>
      <c r="I23" s="2" t="s">
        <v>8</v>
      </c>
      <c r="J23" s="46">
        <f>LOOKUP(ncd2,[0]!code_all,[0]!tukin_a)</f>
        <v>12000</v>
      </c>
      <c r="K23" s="47"/>
      <c r="L23" s="18"/>
    </row>
    <row r="24" spans="2:12" ht="13.5">
      <c r="B24" s="9"/>
      <c r="C24" s="2" t="s">
        <v>10</v>
      </c>
      <c r="D24" s="46">
        <f>LOOKUP(ncd2,[0]!code_all,[0]!kousei_a)</f>
        <v>17000</v>
      </c>
      <c r="E24" s="47"/>
      <c r="F24" s="18"/>
      <c r="H24" s="9"/>
      <c r="I24" s="2" t="s">
        <v>10</v>
      </c>
      <c r="J24" s="46">
        <f>LOOKUP(ncd2,[0]!code_all,[0]!kousei_a)</f>
        <v>17000</v>
      </c>
      <c r="K24" s="47"/>
      <c r="L24" s="18"/>
    </row>
    <row r="25" spans="2:12" ht="13.5">
      <c r="B25" s="9"/>
      <c r="C25" s="2" t="s">
        <v>9</v>
      </c>
      <c r="D25" s="46">
        <f>LOOKUP(ncd,[0]!code_all,[0]!kaigo_a)</f>
        <v>2500</v>
      </c>
      <c r="E25" s="47"/>
      <c r="F25" s="18"/>
      <c r="H25" s="9"/>
      <c r="I25" s="2" t="s">
        <v>9</v>
      </c>
      <c r="J25" s="46">
        <f>LOOKUP(ncd,[0]!code_all,[0]!kaigo_a)</f>
        <v>2500</v>
      </c>
      <c r="K25" s="47"/>
      <c r="L25" s="18"/>
    </row>
    <row r="26" spans="2:12" ht="13.5">
      <c r="B26" s="9"/>
      <c r="C26" s="2" t="s">
        <v>11</v>
      </c>
      <c r="D26" s="52">
        <f>ROUND(支給額計*(3/1000),0)</f>
        <v>430</v>
      </c>
      <c r="E26" s="53"/>
      <c r="F26" s="18"/>
      <c r="H26" s="9"/>
      <c r="I26" s="2" t="s">
        <v>11</v>
      </c>
      <c r="J26" s="61">
        <f>ROUND(支給額計*(3/1000),0)</f>
        <v>430</v>
      </c>
      <c r="K26" s="62"/>
      <c r="L26" s="18"/>
    </row>
    <row r="27" spans="2:12" ht="13.5">
      <c r="B27" s="9"/>
      <c r="C27" s="2"/>
      <c r="D27" s="50"/>
      <c r="E27" s="51"/>
      <c r="F27" s="18"/>
      <c r="H27" s="9"/>
      <c r="I27" s="2"/>
      <c r="J27" s="54"/>
      <c r="K27" s="55"/>
      <c r="L27" s="18"/>
    </row>
    <row r="28" spans="2:12" ht="13.5">
      <c r="B28" s="9"/>
      <c r="C28" s="2"/>
      <c r="D28" s="50"/>
      <c r="E28" s="51"/>
      <c r="F28" s="18"/>
      <c r="H28" s="9"/>
      <c r="I28" s="2"/>
      <c r="J28" s="54"/>
      <c r="K28" s="55"/>
      <c r="L28" s="18"/>
    </row>
    <row r="29" spans="2:12" ht="13.5">
      <c r="B29" s="9"/>
      <c r="C29" s="31" t="s">
        <v>76</v>
      </c>
      <c r="D29" s="52">
        <f>SUM(D23:E28)</f>
        <v>31930</v>
      </c>
      <c r="E29" s="53"/>
      <c r="F29" s="18"/>
      <c r="H29" s="9"/>
      <c r="I29" s="31" t="s">
        <v>76</v>
      </c>
      <c r="J29" s="54">
        <f>SUM(J23:K28)</f>
        <v>31930</v>
      </c>
      <c r="K29" s="55"/>
      <c r="L29" s="18"/>
    </row>
    <row r="30" spans="2:12" ht="13.5">
      <c r="B30" s="9"/>
      <c r="C30" s="31" t="s">
        <v>13</v>
      </c>
      <c r="D30" s="52">
        <f>支給額計1-D29</f>
        <v>195070</v>
      </c>
      <c r="E30" s="53"/>
      <c r="F30" s="18"/>
      <c r="H30" s="9"/>
      <c r="I30" s="31" t="s">
        <v>13</v>
      </c>
      <c r="J30" s="54">
        <f>支給額計1-J29</f>
        <v>195070</v>
      </c>
      <c r="K30" s="55"/>
      <c r="L30" s="18"/>
    </row>
    <row r="31" spans="2:12" ht="13.5">
      <c r="B31" s="10"/>
      <c r="C31" s="19"/>
      <c r="D31" s="19"/>
      <c r="E31" s="19"/>
      <c r="F31" s="20"/>
      <c r="H31" s="10"/>
      <c r="I31" s="19"/>
      <c r="J31" s="19"/>
      <c r="K31" s="19"/>
      <c r="L31" s="20"/>
    </row>
    <row r="33" spans="2:12" ht="13.5">
      <c r="B33" s="8"/>
      <c r="C33" s="13"/>
      <c r="D33" s="13"/>
      <c r="E33" s="13"/>
      <c r="F33" s="14"/>
      <c r="H33" s="8"/>
      <c r="I33" s="13"/>
      <c r="J33" s="13"/>
      <c r="K33" s="13"/>
      <c r="L33" s="14"/>
    </row>
    <row r="34" spans="2:12" ht="13.5">
      <c r="B34" s="15"/>
      <c r="C34" s="40">
        <f>支給月</f>
        <v>43709</v>
      </c>
      <c r="D34" s="42" t="s">
        <v>86</v>
      </c>
      <c r="E34" s="42"/>
      <c r="F34" s="17"/>
      <c r="H34" s="15"/>
      <c r="I34" s="40">
        <f>支給月</f>
        <v>43709</v>
      </c>
      <c r="J34" s="42" t="s">
        <v>86</v>
      </c>
      <c r="K34" s="42"/>
      <c r="L34" s="17"/>
    </row>
    <row r="35" spans="2:12" ht="17.25">
      <c r="B35" s="15"/>
      <c r="C35" s="56" t="str">
        <f>LOOKUP(ncd3,[0]!code_all,[0]!氏名)</f>
        <v>大坂　６男</v>
      </c>
      <c r="D35" s="56"/>
      <c r="E35" s="16" t="s">
        <v>79</v>
      </c>
      <c r="F35" s="17"/>
      <c r="H35" s="15"/>
      <c r="I35" s="56" t="str">
        <f>LOOKUP(ncd2,[0]!code_all,[0]!氏名)</f>
        <v>埼玉　４男</v>
      </c>
      <c r="J35" s="56"/>
      <c r="K35" s="16" t="s">
        <v>79</v>
      </c>
      <c r="L35" s="17"/>
    </row>
    <row r="36" spans="2:12" ht="13.5">
      <c r="B36" s="9"/>
      <c r="C36" s="2" t="s">
        <v>1</v>
      </c>
      <c r="D36" s="32">
        <v>15</v>
      </c>
      <c r="E36" s="1" t="s">
        <v>71</v>
      </c>
      <c r="F36" s="18"/>
      <c r="H36" s="9"/>
      <c r="I36" s="2" t="s">
        <v>1</v>
      </c>
      <c r="J36" s="32">
        <v>15</v>
      </c>
      <c r="K36" s="1" t="s">
        <v>71</v>
      </c>
      <c r="L36" s="18"/>
    </row>
    <row r="37" spans="2:12" ht="13.5">
      <c r="B37" s="9"/>
      <c r="C37" s="2" t="s">
        <v>2</v>
      </c>
      <c r="D37" s="32">
        <v>0</v>
      </c>
      <c r="E37" s="1" t="s">
        <v>71</v>
      </c>
      <c r="F37" s="18"/>
      <c r="H37" s="9"/>
      <c r="I37" s="2" t="s">
        <v>2</v>
      </c>
      <c r="J37" s="32">
        <v>0</v>
      </c>
      <c r="K37" s="1" t="s">
        <v>71</v>
      </c>
      <c r="L37" s="18"/>
    </row>
    <row r="38" spans="2:12" ht="13.5">
      <c r="B38" s="9"/>
      <c r="C38" s="2" t="s">
        <v>72</v>
      </c>
      <c r="D38" s="32">
        <v>0</v>
      </c>
      <c r="E38" s="28" t="s">
        <v>75</v>
      </c>
      <c r="F38" s="18"/>
      <c r="H38" s="9"/>
      <c r="I38" s="2" t="s">
        <v>72</v>
      </c>
      <c r="J38" s="32">
        <v>0</v>
      </c>
      <c r="K38" s="28" t="s">
        <v>75</v>
      </c>
      <c r="L38" s="18"/>
    </row>
    <row r="39" spans="2:12" ht="13.5">
      <c r="B39" s="9"/>
      <c r="C39" s="29" t="s">
        <v>73</v>
      </c>
      <c r="D39" s="32">
        <v>0</v>
      </c>
      <c r="E39" s="28" t="s">
        <v>75</v>
      </c>
      <c r="F39" s="18"/>
      <c r="H39" s="9"/>
      <c r="I39" s="29" t="s">
        <v>73</v>
      </c>
      <c r="J39" s="32">
        <v>0</v>
      </c>
      <c r="K39" s="28" t="s">
        <v>75</v>
      </c>
      <c r="L39" s="18"/>
    </row>
    <row r="40" spans="2:12" ht="13.5">
      <c r="B40" s="9"/>
      <c r="C40" s="11"/>
      <c r="D40" s="6"/>
      <c r="E40" s="12"/>
      <c r="F40" s="18"/>
      <c r="H40" s="9"/>
      <c r="I40" s="11"/>
      <c r="J40" s="6"/>
      <c r="K40" s="12"/>
      <c r="L40" s="18"/>
    </row>
    <row r="41" spans="2:12" ht="13.5">
      <c r="B41" s="9"/>
      <c r="C41" s="2" t="s">
        <v>3</v>
      </c>
      <c r="D41" s="54">
        <f>IF(LOOKUP(ncd3,[0]!code_all,[0]!part)=0,LOOKUP(ncd3,[0]!code_all,[0]!kihon_a),LOOKUP(ncd,[0]!code_all,[0]!kihon_a)*労働時間2)</f>
        <v>200000</v>
      </c>
      <c r="E41" s="55"/>
      <c r="F41" s="18"/>
      <c r="H41" s="9"/>
      <c r="I41" s="2" t="s">
        <v>3</v>
      </c>
      <c r="J41" s="54">
        <f>IF(LOOKUP(ncd4,[0]!code_all,[0]!part)=0,LOOKUP(ncd4,[0]!code_all,[0]!kihon_a),LOOKUP(ncd,[0]!code_all,[0]!kihon_a)*労働時間3)</f>
        <v>200000</v>
      </c>
      <c r="K41" s="55"/>
      <c r="L41" s="18"/>
    </row>
    <row r="42" spans="2:12" ht="13.5">
      <c r="B42" s="9"/>
      <c r="C42" s="2" t="s">
        <v>4</v>
      </c>
      <c r="D42" s="43">
        <f>IF(LOOKUP(ncd3,[0]!code_all,[0]!part)=0,ROUND(LOOKUP(ncd3,[0]!code_all,[0]!kihon_a)/173*1.25*残業時間2,0),ROUND(LOOKUP(ncd3,[0]!code_all,[0]!kihon_a)*1.25,0))</f>
        <v>0</v>
      </c>
      <c r="E42" s="45"/>
      <c r="F42" s="18"/>
      <c r="H42" s="9"/>
      <c r="I42" s="2" t="s">
        <v>4</v>
      </c>
      <c r="J42" s="43">
        <f>IF(LOOKUP(ncd3,[0]!code_all,[0]!part)=0,ROUND(LOOKUP(ncd3,[0]!code_all,[0]!kihon_a)/173*1.25*残業時間3,0),ROUND(LOOKUP(ncd3,[0]!code_all,[0]!kihon_a)*1.25,0))</f>
        <v>0</v>
      </c>
      <c r="K42" s="45"/>
      <c r="L42" s="18"/>
    </row>
    <row r="43" spans="2:12" ht="13.5">
      <c r="B43" s="9"/>
      <c r="C43" s="30" t="s">
        <v>5</v>
      </c>
      <c r="D43" s="46">
        <f>LOOKUP(ncd3,[0]!code_all,[0]!tukin_a)</f>
        <v>12000</v>
      </c>
      <c r="E43" s="47"/>
      <c r="F43" s="18"/>
      <c r="H43" s="9"/>
      <c r="I43" s="30" t="s">
        <v>5</v>
      </c>
      <c r="J43" s="46">
        <f>LOOKUP(ncd4,[0]!code_all,[0]!tukin_a)</f>
        <v>12000</v>
      </c>
      <c r="K43" s="47"/>
      <c r="L43" s="18"/>
    </row>
    <row r="44" spans="2:12" ht="13.5">
      <c r="B44" s="9"/>
      <c r="C44" s="2" t="s">
        <v>6</v>
      </c>
      <c r="D44" s="46">
        <f>LOOKUP(ncd3,[0]!code_all,[0]!jyutaku_a)</f>
        <v>10000</v>
      </c>
      <c r="E44" s="47"/>
      <c r="F44" s="18"/>
      <c r="H44" s="9"/>
      <c r="I44" s="2" t="s">
        <v>6</v>
      </c>
      <c r="J44" s="46">
        <f>LOOKUP(ncd4,[0]!code_all,[0]!jyutaku_a)</f>
        <v>10000</v>
      </c>
      <c r="K44" s="47"/>
      <c r="L44" s="18"/>
    </row>
    <row r="45" spans="2:12" ht="13.5">
      <c r="B45" s="9"/>
      <c r="C45" s="2" t="s">
        <v>7</v>
      </c>
      <c r="D45" s="46">
        <f>LOOKUP(ncd3,[0]!code_all,[0]!kazoku_a)</f>
        <v>5000</v>
      </c>
      <c r="E45" s="47"/>
      <c r="F45" s="18"/>
      <c r="H45" s="9"/>
      <c r="I45" s="2" t="s">
        <v>7</v>
      </c>
      <c r="J45" s="46">
        <f>LOOKUP(ncd4,[0]!code_all,[0]!kazoku_a)</f>
        <v>5000</v>
      </c>
      <c r="K45" s="47"/>
      <c r="L45" s="18"/>
    </row>
    <row r="46" spans="2:12" ht="13.5">
      <c r="B46" s="9"/>
      <c r="C46" s="2"/>
      <c r="D46" s="54"/>
      <c r="E46" s="55"/>
      <c r="F46" s="18"/>
      <c r="H46" s="9"/>
      <c r="I46" s="2"/>
      <c r="J46" s="54"/>
      <c r="K46" s="55"/>
      <c r="L46" s="18"/>
    </row>
    <row r="47" spans="2:12" ht="13.5">
      <c r="B47" s="9"/>
      <c r="C47" s="31" t="s">
        <v>74</v>
      </c>
      <c r="D47" s="52">
        <f>SUM(D41:E46)</f>
        <v>227000</v>
      </c>
      <c r="E47" s="53"/>
      <c r="F47" s="18"/>
      <c r="H47" s="9"/>
      <c r="I47" s="31" t="s">
        <v>74</v>
      </c>
      <c r="J47" s="52">
        <f>SUM(J41:K46)</f>
        <v>227000</v>
      </c>
      <c r="K47" s="53"/>
      <c r="L47" s="18"/>
    </row>
    <row r="48" spans="2:12" ht="13.5">
      <c r="B48" s="9"/>
      <c r="C48" s="7"/>
      <c r="D48" s="54"/>
      <c r="E48" s="55"/>
      <c r="F48" s="18"/>
      <c r="H48" s="9"/>
      <c r="I48" s="7"/>
      <c r="J48" s="54"/>
      <c r="K48" s="55"/>
      <c r="L48" s="18"/>
    </row>
    <row r="49" spans="2:12" ht="13.5">
      <c r="B49" s="9"/>
      <c r="C49" s="2" t="s">
        <v>8</v>
      </c>
      <c r="D49" s="46">
        <f>LOOKUP(ncd3,[0]!code_all,[0]!tukin_a)</f>
        <v>12000</v>
      </c>
      <c r="E49" s="47"/>
      <c r="F49" s="18"/>
      <c r="H49" s="9"/>
      <c r="I49" s="2" t="s">
        <v>8</v>
      </c>
      <c r="J49" s="46">
        <f>LOOKUP(ncd4,[0]!code_all,[0]!tukin_a)</f>
        <v>12000</v>
      </c>
      <c r="K49" s="47"/>
      <c r="L49" s="18"/>
    </row>
    <row r="50" spans="2:12" ht="13.5">
      <c r="B50" s="9"/>
      <c r="C50" s="2" t="s">
        <v>10</v>
      </c>
      <c r="D50" s="46">
        <f>LOOKUP(ncd3,[0]!code_all,[0]!kousei_a)</f>
        <v>17000</v>
      </c>
      <c r="E50" s="47"/>
      <c r="F50" s="18"/>
      <c r="H50" s="9"/>
      <c r="I50" s="2" t="s">
        <v>10</v>
      </c>
      <c r="J50" s="46">
        <f>LOOKUP(ncd4,[0]!code_all,[0]!kousei_a)</f>
        <v>17000</v>
      </c>
      <c r="K50" s="47"/>
      <c r="L50" s="18"/>
    </row>
    <row r="51" spans="2:12" ht="13.5">
      <c r="B51" s="9"/>
      <c r="C51" s="2" t="s">
        <v>9</v>
      </c>
      <c r="D51" s="46">
        <f>LOOKUP(ncd3,[0]!code_all,[0]!kaigo_a)</f>
        <v>2500</v>
      </c>
      <c r="E51" s="47"/>
      <c r="F51" s="18"/>
      <c r="H51" s="9"/>
      <c r="I51" s="2" t="s">
        <v>9</v>
      </c>
      <c r="J51" s="46">
        <f>LOOKUP(ncd4,[0]!code_all,[0]!kaigo_a)</f>
        <v>2500</v>
      </c>
      <c r="K51" s="47"/>
      <c r="L51" s="18"/>
    </row>
    <row r="52" spans="2:12" ht="13.5">
      <c r="B52" s="9"/>
      <c r="C52" s="2" t="s">
        <v>11</v>
      </c>
      <c r="D52" s="43">
        <f>ROUND(支給額計*(3/1000),0)</f>
        <v>430</v>
      </c>
      <c r="E52" s="44"/>
      <c r="F52" s="18"/>
      <c r="H52" s="9"/>
      <c r="I52" s="2" t="s">
        <v>11</v>
      </c>
      <c r="J52" s="43">
        <f>ROUND(支給額計*(3/1000),0)</f>
        <v>430</v>
      </c>
      <c r="K52" s="44"/>
      <c r="L52" s="18"/>
    </row>
    <row r="53" spans="2:12" ht="13.5">
      <c r="B53" s="9"/>
      <c r="C53" s="2"/>
      <c r="D53" s="54"/>
      <c r="E53" s="55"/>
      <c r="F53" s="18"/>
      <c r="H53" s="9"/>
      <c r="I53" s="2"/>
      <c r="J53" s="54"/>
      <c r="K53" s="55"/>
      <c r="L53" s="18"/>
    </row>
    <row r="54" spans="2:12" ht="13.5">
      <c r="B54" s="9"/>
      <c r="C54" s="2"/>
      <c r="D54" s="54"/>
      <c r="E54" s="55"/>
      <c r="F54" s="18"/>
      <c r="H54" s="9"/>
      <c r="I54" s="2"/>
      <c r="J54" s="54"/>
      <c r="K54" s="55"/>
      <c r="L54" s="18"/>
    </row>
    <row r="55" spans="2:12" ht="13.5">
      <c r="B55" s="9"/>
      <c r="C55" s="31" t="s">
        <v>76</v>
      </c>
      <c r="D55" s="43">
        <f>SUM(D49:E54)</f>
        <v>31930</v>
      </c>
      <c r="E55" s="44"/>
      <c r="F55" s="18"/>
      <c r="H55" s="9"/>
      <c r="I55" s="31" t="s">
        <v>76</v>
      </c>
      <c r="J55" s="43">
        <f>SUM(J49:K54)</f>
        <v>31930</v>
      </c>
      <c r="K55" s="44"/>
      <c r="L55" s="18"/>
    </row>
    <row r="56" spans="2:12" ht="13.5">
      <c r="B56" s="9"/>
      <c r="C56" s="31" t="s">
        <v>13</v>
      </c>
      <c r="D56" s="43">
        <f>支給額計1-D55</f>
        <v>195070</v>
      </c>
      <c r="E56" s="44"/>
      <c r="F56" s="18"/>
      <c r="H56" s="9"/>
      <c r="I56" s="31" t="s">
        <v>13</v>
      </c>
      <c r="J56" s="43">
        <f>支給額計1-J55</f>
        <v>195070</v>
      </c>
      <c r="K56" s="44"/>
      <c r="L56" s="18"/>
    </row>
    <row r="57" spans="2:12" ht="13.5">
      <c r="B57" s="10"/>
      <c r="C57" s="19"/>
      <c r="D57" s="19"/>
      <c r="E57" s="19"/>
      <c r="F57" s="20"/>
      <c r="H57" s="10"/>
      <c r="I57" s="19"/>
      <c r="J57" s="19"/>
      <c r="K57" s="19"/>
      <c r="L57" s="20"/>
    </row>
    <row r="64" spans="2:25" ht="18.75">
      <c r="B64" s="23" t="s">
        <v>70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2"/>
      <c r="Y64" s="22"/>
    </row>
    <row r="65" spans="2:25" ht="13.5">
      <c r="B65" s="25"/>
      <c r="C65" s="25"/>
      <c r="D65" s="24" t="s">
        <v>78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2"/>
      <c r="Y65" s="22"/>
    </row>
    <row r="66" spans="2:25" ht="13.5">
      <c r="B66" s="26"/>
      <c r="C66" s="26"/>
      <c r="D66" s="24" t="s">
        <v>68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2"/>
      <c r="Y66" s="22"/>
    </row>
    <row r="67" spans="2:25" ht="13.5">
      <c r="B67" s="27"/>
      <c r="C67" s="27"/>
      <c r="D67" s="24" t="s">
        <v>69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2"/>
      <c r="Y67" s="22"/>
    </row>
    <row r="68" spans="2:25" ht="13.5">
      <c r="B68" s="22" t="s">
        <v>77</v>
      </c>
      <c r="C68" s="22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2"/>
      <c r="Y68" s="22"/>
    </row>
    <row r="69" spans="2:25" ht="13.5">
      <c r="B69" s="24" t="s">
        <v>88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2"/>
      <c r="Y69" s="22"/>
    </row>
    <row r="70" ht="13.5">
      <c r="C70" t="s">
        <v>89</v>
      </c>
    </row>
    <row r="71" ht="13.5">
      <c r="C71" t="s">
        <v>90</v>
      </c>
    </row>
  </sheetData>
  <sheetProtection sheet="1"/>
  <mergeCells count="76">
    <mergeCell ref="J17:K17"/>
    <mergeCell ref="J18:K18"/>
    <mergeCell ref="J19:K19"/>
    <mergeCell ref="J28:K28"/>
    <mergeCell ref="J25:K25"/>
    <mergeCell ref="J26:K26"/>
    <mergeCell ref="J27:K27"/>
    <mergeCell ref="J21:K21"/>
    <mergeCell ref="J22:K22"/>
    <mergeCell ref="J20:K20"/>
    <mergeCell ref="C9:D9"/>
    <mergeCell ref="I9:J9"/>
    <mergeCell ref="D21:E21"/>
    <mergeCell ref="D18:E18"/>
    <mergeCell ref="D19:E19"/>
    <mergeCell ref="D20:E20"/>
    <mergeCell ref="J15:K15"/>
    <mergeCell ref="J16:K16"/>
    <mergeCell ref="C35:D35"/>
    <mergeCell ref="I35:J35"/>
    <mergeCell ref="D41:E41"/>
    <mergeCell ref="D42:E42"/>
    <mergeCell ref="J23:K23"/>
    <mergeCell ref="J24:K24"/>
    <mergeCell ref="J41:K41"/>
    <mergeCell ref="J42:K42"/>
    <mergeCell ref="J43:K43"/>
    <mergeCell ref="J44:K44"/>
    <mergeCell ref="J29:K29"/>
    <mergeCell ref="J30:K30"/>
    <mergeCell ref="D51:E51"/>
    <mergeCell ref="D52:E52"/>
    <mergeCell ref="D43:E43"/>
    <mergeCell ref="D44:E44"/>
    <mergeCell ref="D45:E45"/>
    <mergeCell ref="D46:E46"/>
    <mergeCell ref="J49:K49"/>
    <mergeCell ref="J50:K50"/>
    <mergeCell ref="D47:E47"/>
    <mergeCell ref="D48:E48"/>
    <mergeCell ref="D49:E49"/>
    <mergeCell ref="D50:E50"/>
    <mergeCell ref="J54:K54"/>
    <mergeCell ref="J55:K55"/>
    <mergeCell ref="D53:E53"/>
    <mergeCell ref="D54:E54"/>
    <mergeCell ref="D55:E55"/>
    <mergeCell ref="D56:E56"/>
    <mergeCell ref="D24:E24"/>
    <mergeCell ref="D25:E25"/>
    <mergeCell ref="J51:K51"/>
    <mergeCell ref="J52:K52"/>
    <mergeCell ref="J53:K53"/>
    <mergeCell ref="D30:E30"/>
    <mergeCell ref="J45:K45"/>
    <mergeCell ref="J46:K46"/>
    <mergeCell ref="J47:K47"/>
    <mergeCell ref="J48:K48"/>
    <mergeCell ref="D1:E1"/>
    <mergeCell ref="D2:E2"/>
    <mergeCell ref="D3:E3"/>
    <mergeCell ref="D4:E4"/>
    <mergeCell ref="D5:E5"/>
    <mergeCell ref="J56:K56"/>
    <mergeCell ref="D28:E28"/>
    <mergeCell ref="D29:E29"/>
    <mergeCell ref="D26:E26"/>
    <mergeCell ref="D27:E27"/>
    <mergeCell ref="J8:K8"/>
    <mergeCell ref="D8:E8"/>
    <mergeCell ref="D34:E34"/>
    <mergeCell ref="J34:K34"/>
    <mergeCell ref="D15:E15"/>
    <mergeCell ref="D16:E16"/>
    <mergeCell ref="D17:E17"/>
    <mergeCell ref="D23:E23"/>
  </mergeCells>
  <dataValidations count="1">
    <dataValidation allowBlank="1" showInputMessage="1" showErrorMessage="1" imeMode="on" sqref="E10:E11 K10:K11 E36:E37 K36:K37 I10:J21 C10:D21 I36:J47 C36:D47 I49:J56 C49:D56 I23:J30 C23:D30"/>
  </dataValidations>
  <hyperlinks>
    <hyperlink ref="I2" r:id="rId1" display="created by 情報処理コンサルタント：ＯＡコーディネターズ"/>
  </hyperlinks>
  <printOptions/>
  <pageMargins left="0.25" right="0.25" top="0.75" bottom="0.75" header="0.3" footer="0.3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71"/>
  <sheetViews>
    <sheetView zoomScalePageLayoutView="0" workbookViewId="0" topLeftCell="A10">
      <selection activeCell="P41" sqref="P41"/>
    </sheetView>
  </sheetViews>
  <sheetFormatPr defaultColWidth="8.796875" defaultRowHeight="14.25"/>
  <cols>
    <col min="1" max="1" width="3.59765625" style="0" customWidth="1"/>
    <col min="2" max="2" width="4.19921875" style="0" customWidth="1"/>
    <col min="3" max="3" width="14.19921875" style="0" customWidth="1"/>
    <col min="4" max="4" width="6.3984375" style="0" customWidth="1"/>
    <col min="5" max="5" width="7.69921875" style="0" customWidth="1"/>
    <col min="6" max="6" width="3.69921875" style="0" customWidth="1"/>
    <col min="7" max="7" width="4.19921875" style="0" customWidth="1"/>
    <col min="8" max="8" width="5" style="0" customWidth="1"/>
    <col min="9" max="9" width="13" style="0" customWidth="1"/>
    <col min="10" max="10" width="6.3984375" style="0" customWidth="1"/>
    <col min="11" max="11" width="7.5" style="0" customWidth="1"/>
    <col min="12" max="12" width="4.09765625" style="0" customWidth="1"/>
  </cols>
  <sheetData>
    <row r="1" spans="3:5" ht="14.25">
      <c r="C1" s="39" t="s">
        <v>83</v>
      </c>
      <c r="D1" s="48">
        <v>43709</v>
      </c>
      <c r="E1" s="48"/>
    </row>
    <row r="2" spans="3:9" ht="19.5">
      <c r="C2" s="39" t="s">
        <v>84</v>
      </c>
      <c r="D2" s="49" t="s">
        <v>85</v>
      </c>
      <c r="E2" s="49"/>
      <c r="I2" s="63" t="s">
        <v>91</v>
      </c>
    </row>
    <row r="3" spans="4:5" ht="13.5">
      <c r="D3" s="49" t="s">
        <v>80</v>
      </c>
      <c r="E3" s="49"/>
    </row>
    <row r="4" spans="4:5" ht="13.5">
      <c r="D4" s="49" t="s">
        <v>82</v>
      </c>
      <c r="E4" s="49"/>
    </row>
    <row r="5" spans="4:5" ht="13.5">
      <c r="D5" s="49" t="s">
        <v>81</v>
      </c>
      <c r="E5" s="49"/>
    </row>
    <row r="7" spans="2:12" ht="13.5">
      <c r="B7" s="8"/>
      <c r="C7" s="13"/>
      <c r="D7" s="13"/>
      <c r="E7" s="13"/>
      <c r="F7" s="14"/>
      <c r="H7" s="8"/>
      <c r="I7" s="13"/>
      <c r="J7" s="13"/>
      <c r="K7" s="13"/>
      <c r="L7" s="14"/>
    </row>
    <row r="8" spans="2:12" ht="13.5">
      <c r="B8" s="15"/>
      <c r="C8" s="40">
        <f>支給月</f>
        <v>43709</v>
      </c>
      <c r="D8" s="42" t="s">
        <v>86</v>
      </c>
      <c r="E8" s="42"/>
      <c r="F8" s="17"/>
      <c r="H8" s="15"/>
      <c r="I8" s="40">
        <f>支給月</f>
        <v>43709</v>
      </c>
      <c r="J8" s="42" t="s">
        <v>86</v>
      </c>
      <c r="K8" s="42"/>
      <c r="L8" s="17"/>
    </row>
    <row r="9" spans="2:12" ht="17.25">
      <c r="B9" s="15"/>
      <c r="C9" s="57" t="str">
        <f>LOOKUP(ncd,[0]!code_all,[0]!氏名)</f>
        <v>埼玉　３男</v>
      </c>
      <c r="D9" s="58"/>
      <c r="E9" s="36" t="s">
        <v>79</v>
      </c>
      <c r="F9" s="17"/>
      <c r="H9" s="15"/>
      <c r="I9" s="56" t="str">
        <f>LOOKUP(ncd2,[0]!code_all,[0]!氏名)</f>
        <v>埼玉　４男</v>
      </c>
      <c r="J9" s="56"/>
      <c r="K9" s="16" t="s">
        <v>79</v>
      </c>
      <c r="L9" s="17"/>
    </row>
    <row r="10" spans="2:12" ht="13.5">
      <c r="B10" s="9"/>
      <c r="C10" s="2" t="s">
        <v>1</v>
      </c>
      <c r="D10" s="41">
        <v>15</v>
      </c>
      <c r="E10" s="2" t="s">
        <v>71</v>
      </c>
      <c r="F10" s="18"/>
      <c r="H10" s="9"/>
      <c r="I10" s="2" t="s">
        <v>1</v>
      </c>
      <c r="J10" s="41">
        <v>15</v>
      </c>
      <c r="K10" s="1" t="s">
        <v>71</v>
      </c>
      <c r="L10" s="18"/>
    </row>
    <row r="11" spans="2:12" ht="13.5">
      <c r="B11" s="9"/>
      <c r="C11" s="2" t="s">
        <v>2</v>
      </c>
      <c r="D11" s="41">
        <v>0</v>
      </c>
      <c r="E11" s="2" t="s">
        <v>71</v>
      </c>
      <c r="F11" s="18"/>
      <c r="H11" s="9"/>
      <c r="I11" s="2" t="s">
        <v>2</v>
      </c>
      <c r="J11" s="41">
        <v>0</v>
      </c>
      <c r="K11" s="1" t="s">
        <v>71</v>
      </c>
      <c r="L11" s="18"/>
    </row>
    <row r="12" spans="2:12" ht="13.5">
      <c r="B12" s="9"/>
      <c r="C12" s="2" t="s">
        <v>72</v>
      </c>
      <c r="D12" s="41">
        <v>120</v>
      </c>
      <c r="E12" s="38" t="s">
        <v>75</v>
      </c>
      <c r="F12" s="18"/>
      <c r="H12" s="9"/>
      <c r="I12" s="2" t="s">
        <v>72</v>
      </c>
      <c r="J12" s="41">
        <v>1</v>
      </c>
      <c r="K12" s="28" t="s">
        <v>75</v>
      </c>
      <c r="L12" s="18"/>
    </row>
    <row r="13" spans="2:12" ht="13.5">
      <c r="B13" s="37"/>
      <c r="C13" s="2" t="s">
        <v>73</v>
      </c>
      <c r="D13" s="41">
        <v>5</v>
      </c>
      <c r="E13" s="38" t="s">
        <v>75</v>
      </c>
      <c r="F13" s="18"/>
      <c r="H13" s="9"/>
      <c r="I13" s="29" t="s">
        <v>73</v>
      </c>
      <c r="J13" s="41">
        <v>0</v>
      </c>
      <c r="K13" s="28" t="s">
        <v>75</v>
      </c>
      <c r="L13" s="18"/>
    </row>
    <row r="14" spans="2:12" ht="13.5">
      <c r="B14" s="9"/>
      <c r="C14" s="11"/>
      <c r="D14" s="6"/>
      <c r="E14" s="12"/>
      <c r="F14" s="18"/>
      <c r="H14" s="9"/>
      <c r="I14" s="11"/>
      <c r="J14" s="6"/>
      <c r="K14" s="12"/>
      <c r="L14" s="18"/>
    </row>
    <row r="15" spans="2:12" ht="13.5">
      <c r="B15" s="9"/>
      <c r="C15" s="2" t="s">
        <v>3</v>
      </c>
      <c r="D15" s="43">
        <f>IF(LOOKUP(ncd,[0]!code_all,[0]!part)=0,LOOKUP(ncd,[0]!code_all,[0]!kihon_a),LOOKUP(ncd,[0]!code_all,[0]!kihon_a)*労働時間)</f>
        <v>115200</v>
      </c>
      <c r="E15" s="44"/>
      <c r="F15" s="18"/>
      <c r="H15" s="9"/>
      <c r="I15" s="2" t="s">
        <v>3</v>
      </c>
      <c r="J15" s="43">
        <f>IF(LOOKUP(ncd2,[0]!code_all,[0]!part)=0,LOOKUP(ncd2,[0]!code_all,[0]!kihon_a),LOOKUP(ncd,[0]!code_all,[0]!kihon_a)*労働時間1)</f>
        <v>200000</v>
      </c>
      <c r="K15" s="44"/>
      <c r="L15" s="18"/>
    </row>
    <row r="16" spans="2:12" ht="13.5">
      <c r="B16" s="9"/>
      <c r="C16" s="2" t="s">
        <v>4</v>
      </c>
      <c r="D16" s="43">
        <f>IF(LOOKUP(ncd,[0]!code_all,[0]!part)=0,ROUND(LOOKUP(ncd,[0]!code_all,[0]!kihon_a)/173*1.25*残業時間,0),ROUND(LOOKUP(ncd,[0]!code_all,[0]!kihon_a)*1.25,0))</f>
        <v>1200</v>
      </c>
      <c r="E16" s="45"/>
      <c r="F16" s="18"/>
      <c r="H16" s="9"/>
      <c r="I16" s="2" t="s">
        <v>4</v>
      </c>
      <c r="J16" s="52">
        <f>IF(LOOKUP(ncd2,[0]!code_all,[0]!part)=0,ROUND(LOOKUP(ncd2,[0]!code_all,[0]!kihon_a)/173*1.25*残業時間1,0),ROUND(LOOKUP(ncd2,[0]!code_all,[0]!kihon_a)*1.25,0))</f>
        <v>0</v>
      </c>
      <c r="K16" s="53"/>
      <c r="L16" s="18"/>
    </row>
    <row r="17" spans="2:12" ht="13.5">
      <c r="B17" s="9"/>
      <c r="C17" s="35" t="s">
        <v>5</v>
      </c>
      <c r="D17" s="46">
        <f>LOOKUP(ncd,[0]!code_all,[0]!tukin_a)</f>
        <v>12000</v>
      </c>
      <c r="E17" s="47"/>
      <c r="F17" s="18"/>
      <c r="H17" s="9"/>
      <c r="I17" s="35" t="s">
        <v>5</v>
      </c>
      <c r="J17" s="46">
        <f>LOOKUP(ncd2,[0]!code_all,[0]!tukin_a)</f>
        <v>12000</v>
      </c>
      <c r="K17" s="47"/>
      <c r="L17" s="18"/>
    </row>
    <row r="18" spans="2:12" ht="13.5">
      <c r="B18" s="9"/>
      <c r="C18" s="2" t="s">
        <v>6</v>
      </c>
      <c r="D18" s="46">
        <f>LOOKUP(ncd2,[0]!code_all,[0]!jyutaku_a)</f>
        <v>10000</v>
      </c>
      <c r="E18" s="47"/>
      <c r="F18" s="18"/>
      <c r="H18" s="9"/>
      <c r="I18" s="2" t="s">
        <v>6</v>
      </c>
      <c r="J18" s="46">
        <f>LOOKUP(ncd2,[0]!code_all,[0]!jyutaku_a)</f>
        <v>10000</v>
      </c>
      <c r="K18" s="47"/>
      <c r="L18" s="18"/>
    </row>
    <row r="19" spans="2:12" ht="13.5">
      <c r="B19" s="9"/>
      <c r="C19" s="2" t="s">
        <v>7</v>
      </c>
      <c r="D19" s="46">
        <f>LOOKUP(ncd,[0]!code_all,[0]!kazoku_a)</f>
        <v>5000</v>
      </c>
      <c r="E19" s="47"/>
      <c r="F19" s="18"/>
      <c r="H19" s="9"/>
      <c r="I19" s="2" t="s">
        <v>7</v>
      </c>
      <c r="J19" s="46">
        <f>LOOKUP(ncd2,[0]!code_all,[0]!kazoku_a)</f>
        <v>5000</v>
      </c>
      <c r="K19" s="47"/>
      <c r="L19" s="18"/>
    </row>
    <row r="20" spans="2:12" ht="13.5">
      <c r="B20" s="9"/>
      <c r="C20" s="2"/>
      <c r="D20" s="59"/>
      <c r="E20" s="60"/>
      <c r="F20" s="18"/>
      <c r="H20" s="9"/>
      <c r="I20" s="2"/>
      <c r="J20" s="54"/>
      <c r="K20" s="55"/>
      <c r="L20" s="18"/>
    </row>
    <row r="21" spans="2:12" ht="13.5">
      <c r="B21" s="9"/>
      <c r="C21" s="34" t="s">
        <v>74</v>
      </c>
      <c r="D21" s="52">
        <f>SUM(D15:E20)</f>
        <v>143400</v>
      </c>
      <c r="E21" s="53"/>
      <c r="F21" s="18"/>
      <c r="H21" s="9"/>
      <c r="I21" s="34" t="s">
        <v>74</v>
      </c>
      <c r="J21" s="52">
        <f>SUM(J15:K20)</f>
        <v>227000</v>
      </c>
      <c r="K21" s="53"/>
      <c r="L21" s="18"/>
    </row>
    <row r="22" spans="2:12" ht="13.5">
      <c r="B22" s="9"/>
      <c r="C22" s="7"/>
      <c r="D22" s="21"/>
      <c r="E22" s="21"/>
      <c r="F22" s="18"/>
      <c r="H22" s="9"/>
      <c r="I22" s="7"/>
      <c r="J22" s="54"/>
      <c r="K22" s="55"/>
      <c r="L22" s="18"/>
    </row>
    <row r="23" spans="2:12" ht="13.5">
      <c r="B23" s="9"/>
      <c r="C23" s="2" t="s">
        <v>8</v>
      </c>
      <c r="D23" s="46">
        <f>LOOKUP(ncd,[0]!code_all,[0]!tukin_a)</f>
        <v>12000</v>
      </c>
      <c r="E23" s="47"/>
      <c r="F23" s="18"/>
      <c r="H23" s="9"/>
      <c r="I23" s="2" t="s">
        <v>8</v>
      </c>
      <c r="J23" s="46">
        <f>LOOKUP(ncd2,[0]!code_all,[0]!tukin_a)</f>
        <v>12000</v>
      </c>
      <c r="K23" s="47"/>
      <c r="L23" s="18"/>
    </row>
    <row r="24" spans="2:12" ht="13.5">
      <c r="B24" s="9"/>
      <c r="C24" s="2" t="s">
        <v>10</v>
      </c>
      <c r="D24" s="46">
        <f>LOOKUP(ncd2,[0]!code_all,[0]!kousei_a)</f>
        <v>17000</v>
      </c>
      <c r="E24" s="47"/>
      <c r="F24" s="18"/>
      <c r="H24" s="9"/>
      <c r="I24" s="2" t="s">
        <v>10</v>
      </c>
      <c r="J24" s="46">
        <f>LOOKUP(ncd2,[0]!code_all,[0]!kousei_a)</f>
        <v>17000</v>
      </c>
      <c r="K24" s="47"/>
      <c r="L24" s="18"/>
    </row>
    <row r="25" spans="2:12" ht="13.5">
      <c r="B25" s="9"/>
      <c r="C25" s="2" t="s">
        <v>9</v>
      </c>
      <c r="D25" s="46">
        <f>LOOKUP(ncd,[0]!code_all,[0]!kaigo_a)</f>
        <v>2500</v>
      </c>
      <c r="E25" s="47"/>
      <c r="F25" s="18"/>
      <c r="H25" s="9"/>
      <c r="I25" s="2" t="s">
        <v>9</v>
      </c>
      <c r="J25" s="46">
        <f>LOOKUP(ncd,[0]!code_all,[0]!kaigo_a)</f>
        <v>2500</v>
      </c>
      <c r="K25" s="47"/>
      <c r="L25" s="18"/>
    </row>
    <row r="26" spans="2:12" ht="13.5">
      <c r="B26" s="9"/>
      <c r="C26" s="2" t="s">
        <v>11</v>
      </c>
      <c r="D26" s="52">
        <f>ROUND(支給額計*(3/1000),0)</f>
        <v>430</v>
      </c>
      <c r="E26" s="53"/>
      <c r="F26" s="18"/>
      <c r="H26" s="9"/>
      <c r="I26" s="2" t="s">
        <v>11</v>
      </c>
      <c r="J26" s="61">
        <f>ROUND(支給額計*(3/1000),0)</f>
        <v>430</v>
      </c>
      <c r="K26" s="62"/>
      <c r="L26" s="18"/>
    </row>
    <row r="27" spans="2:12" ht="13.5">
      <c r="B27" s="9"/>
      <c r="C27" s="2"/>
      <c r="D27" s="50"/>
      <c r="E27" s="51"/>
      <c r="F27" s="18"/>
      <c r="H27" s="9"/>
      <c r="I27" s="2"/>
      <c r="J27" s="54"/>
      <c r="K27" s="55"/>
      <c r="L27" s="18"/>
    </row>
    <row r="28" spans="2:12" ht="13.5">
      <c r="B28" s="9"/>
      <c r="C28" s="2"/>
      <c r="D28" s="50"/>
      <c r="E28" s="51"/>
      <c r="F28" s="18"/>
      <c r="H28" s="9"/>
      <c r="I28" s="2"/>
      <c r="J28" s="54"/>
      <c r="K28" s="55"/>
      <c r="L28" s="18"/>
    </row>
    <row r="29" spans="2:12" ht="13.5">
      <c r="B29" s="9"/>
      <c r="C29" s="34" t="s">
        <v>76</v>
      </c>
      <c r="D29" s="52">
        <f>SUM(D23:E28)</f>
        <v>31930</v>
      </c>
      <c r="E29" s="53"/>
      <c r="F29" s="18"/>
      <c r="H29" s="9"/>
      <c r="I29" s="34" t="s">
        <v>76</v>
      </c>
      <c r="J29" s="54">
        <f>SUM(J23:K28)</f>
        <v>31930</v>
      </c>
      <c r="K29" s="55"/>
      <c r="L29" s="18"/>
    </row>
    <row r="30" spans="2:12" ht="13.5">
      <c r="B30" s="9"/>
      <c r="C30" s="34" t="s">
        <v>13</v>
      </c>
      <c r="D30" s="52">
        <f>支給額計1-D29</f>
        <v>195070</v>
      </c>
      <c r="E30" s="53"/>
      <c r="F30" s="18"/>
      <c r="H30" s="9"/>
      <c r="I30" s="34" t="s">
        <v>13</v>
      </c>
      <c r="J30" s="54">
        <f>支給額計1-J29</f>
        <v>195070</v>
      </c>
      <c r="K30" s="55"/>
      <c r="L30" s="18"/>
    </row>
    <row r="31" spans="2:12" ht="13.5">
      <c r="B31" s="10"/>
      <c r="C31" s="19"/>
      <c r="D31" s="19"/>
      <c r="E31" s="19"/>
      <c r="F31" s="20"/>
      <c r="H31" s="10"/>
      <c r="I31" s="19"/>
      <c r="J31" s="19"/>
      <c r="K31" s="19"/>
      <c r="L31" s="20"/>
    </row>
    <row r="33" spans="2:12" ht="13.5">
      <c r="B33" s="8"/>
      <c r="C33" s="13"/>
      <c r="D33" s="13"/>
      <c r="E33" s="13"/>
      <c r="F33" s="14"/>
      <c r="H33" s="8"/>
      <c r="I33" s="13"/>
      <c r="J33" s="13"/>
      <c r="K33" s="13"/>
      <c r="L33" s="14"/>
    </row>
    <row r="34" spans="2:12" ht="13.5">
      <c r="B34" s="15"/>
      <c r="C34" s="40">
        <f>支給月</f>
        <v>43709</v>
      </c>
      <c r="D34" s="42" t="s">
        <v>86</v>
      </c>
      <c r="E34" s="42"/>
      <c r="F34" s="17"/>
      <c r="H34" s="15"/>
      <c r="I34" s="40">
        <f>支給月</f>
        <v>43709</v>
      </c>
      <c r="J34" s="42" t="s">
        <v>86</v>
      </c>
      <c r="K34" s="42"/>
      <c r="L34" s="17"/>
    </row>
    <row r="35" spans="2:12" ht="17.25">
      <c r="B35" s="15"/>
      <c r="C35" s="56" t="str">
        <f>LOOKUP(ncd3,[0]!code_all,[0]!氏名)</f>
        <v>大坂　６男</v>
      </c>
      <c r="D35" s="56"/>
      <c r="E35" s="16" t="s">
        <v>79</v>
      </c>
      <c r="F35" s="17"/>
      <c r="H35" s="15"/>
      <c r="I35" s="56" t="str">
        <f>LOOKUP(ncd2,[0]!code_all,[0]!氏名)</f>
        <v>埼玉　４男</v>
      </c>
      <c r="J35" s="56"/>
      <c r="K35" s="16" t="s">
        <v>79</v>
      </c>
      <c r="L35" s="17"/>
    </row>
    <row r="36" spans="2:12" ht="13.5">
      <c r="B36" s="9"/>
      <c r="C36" s="2" t="s">
        <v>1</v>
      </c>
      <c r="D36" s="33">
        <v>15</v>
      </c>
      <c r="E36" s="1" t="s">
        <v>71</v>
      </c>
      <c r="F36" s="18"/>
      <c r="H36" s="9"/>
      <c r="I36" s="2" t="s">
        <v>1</v>
      </c>
      <c r="J36" s="33">
        <v>15</v>
      </c>
      <c r="K36" s="1" t="s">
        <v>71</v>
      </c>
      <c r="L36" s="18"/>
    </row>
    <row r="37" spans="2:12" ht="13.5">
      <c r="B37" s="9"/>
      <c r="C37" s="2" t="s">
        <v>2</v>
      </c>
      <c r="D37" s="33">
        <v>0</v>
      </c>
      <c r="E37" s="1" t="s">
        <v>71</v>
      </c>
      <c r="F37" s="18"/>
      <c r="H37" s="9"/>
      <c r="I37" s="2" t="s">
        <v>2</v>
      </c>
      <c r="J37" s="33">
        <v>0</v>
      </c>
      <c r="K37" s="1" t="s">
        <v>71</v>
      </c>
      <c r="L37" s="18"/>
    </row>
    <row r="38" spans="2:12" ht="13.5">
      <c r="B38" s="9"/>
      <c r="C38" s="2" t="s">
        <v>72</v>
      </c>
      <c r="D38" s="33">
        <v>0</v>
      </c>
      <c r="E38" s="28" t="s">
        <v>75</v>
      </c>
      <c r="F38" s="18"/>
      <c r="H38" s="9"/>
      <c r="I38" s="2" t="s">
        <v>72</v>
      </c>
      <c r="J38" s="33">
        <v>0</v>
      </c>
      <c r="K38" s="28" t="s">
        <v>75</v>
      </c>
      <c r="L38" s="18"/>
    </row>
    <row r="39" spans="2:12" ht="13.5">
      <c r="B39" s="9"/>
      <c r="C39" s="29" t="s">
        <v>73</v>
      </c>
      <c r="D39" s="33">
        <v>0</v>
      </c>
      <c r="E39" s="28" t="s">
        <v>75</v>
      </c>
      <c r="F39" s="18"/>
      <c r="H39" s="9"/>
      <c r="I39" s="29" t="s">
        <v>73</v>
      </c>
      <c r="J39" s="33">
        <v>0</v>
      </c>
      <c r="K39" s="28" t="s">
        <v>75</v>
      </c>
      <c r="L39" s="18"/>
    </row>
    <row r="40" spans="2:12" ht="13.5">
      <c r="B40" s="9"/>
      <c r="C40" s="11"/>
      <c r="D40" s="6"/>
      <c r="E40" s="12"/>
      <c r="F40" s="18"/>
      <c r="H40" s="9"/>
      <c r="I40" s="11"/>
      <c r="J40" s="6"/>
      <c r="K40" s="12"/>
      <c r="L40" s="18"/>
    </row>
    <row r="41" spans="2:12" ht="13.5">
      <c r="B41" s="9"/>
      <c r="C41" s="2" t="s">
        <v>3</v>
      </c>
      <c r="D41" s="54">
        <f>IF(LOOKUP(ncd3,[0]!code_all,[0]!part)=0,LOOKUP(ncd3,[0]!code_all,[0]!kihon_a),LOOKUP(ncd,[0]!code_all,[0]!kihon_a)*労働時間2)</f>
        <v>200000</v>
      </c>
      <c r="E41" s="55"/>
      <c r="F41" s="18"/>
      <c r="H41" s="9"/>
      <c r="I41" s="2" t="s">
        <v>3</v>
      </c>
      <c r="J41" s="54">
        <f>IF(LOOKUP(ncd4,[0]!code_all,[0]!part)=0,LOOKUP(ncd4,[0]!code_all,[0]!kihon_a),LOOKUP(ncd,[0]!code_all,[0]!kihon_a)*労働時間3)</f>
        <v>200000</v>
      </c>
      <c r="K41" s="55"/>
      <c r="L41" s="18"/>
    </row>
    <row r="42" spans="2:12" ht="13.5">
      <c r="B42" s="9"/>
      <c r="C42" s="2" t="s">
        <v>4</v>
      </c>
      <c r="D42" s="43">
        <f>IF(LOOKUP(ncd3,[0]!code_all,[0]!part)=0,ROUND(LOOKUP(ncd3,[0]!code_all,[0]!kihon_a)/173*1.25*残業時間2,0),ROUND(LOOKUP(ncd3,[0]!code_all,[0]!kihon_a)*1.25,0))</f>
        <v>0</v>
      </c>
      <c r="E42" s="45"/>
      <c r="F42" s="18"/>
      <c r="H42" s="9"/>
      <c r="I42" s="2" t="s">
        <v>4</v>
      </c>
      <c r="J42" s="43">
        <f>IF(LOOKUP(ncd3,[0]!code_all,[0]!part)=0,ROUND(LOOKUP(ncd3,[0]!code_all,[0]!kihon_a)/173*1.25*残業時間3,0),ROUND(LOOKUP(ncd3,[0]!code_all,[0]!kihon_a)*1.25,0))</f>
        <v>0</v>
      </c>
      <c r="K42" s="45"/>
      <c r="L42" s="18"/>
    </row>
    <row r="43" spans="2:12" ht="13.5">
      <c r="B43" s="9"/>
      <c r="C43" s="35" t="s">
        <v>5</v>
      </c>
      <c r="D43" s="46">
        <f>LOOKUP(ncd3,[0]!code_all,[0]!tukin_a)</f>
        <v>12000</v>
      </c>
      <c r="E43" s="47"/>
      <c r="F43" s="18"/>
      <c r="H43" s="9"/>
      <c r="I43" s="35" t="s">
        <v>5</v>
      </c>
      <c r="J43" s="46">
        <f>LOOKUP(ncd4,[0]!code_all,[0]!tukin_a)</f>
        <v>12000</v>
      </c>
      <c r="K43" s="47"/>
      <c r="L43" s="18"/>
    </row>
    <row r="44" spans="2:12" ht="13.5">
      <c r="B44" s="9"/>
      <c r="C44" s="2" t="s">
        <v>6</v>
      </c>
      <c r="D44" s="46">
        <f>LOOKUP(ncd3,[0]!code_all,[0]!jyutaku_a)</f>
        <v>10000</v>
      </c>
      <c r="E44" s="47"/>
      <c r="F44" s="18"/>
      <c r="H44" s="9"/>
      <c r="I44" s="2" t="s">
        <v>6</v>
      </c>
      <c r="J44" s="46">
        <f>LOOKUP(ncd4,[0]!code_all,[0]!jyutaku_a)</f>
        <v>10000</v>
      </c>
      <c r="K44" s="47"/>
      <c r="L44" s="18"/>
    </row>
    <row r="45" spans="2:12" ht="13.5">
      <c r="B45" s="9"/>
      <c r="C45" s="2" t="s">
        <v>7</v>
      </c>
      <c r="D45" s="46">
        <f>LOOKUP(ncd3,[0]!code_all,[0]!kazoku_a)</f>
        <v>5000</v>
      </c>
      <c r="E45" s="47"/>
      <c r="F45" s="18"/>
      <c r="H45" s="9"/>
      <c r="I45" s="2" t="s">
        <v>7</v>
      </c>
      <c r="J45" s="46">
        <f>LOOKUP(ncd4,[0]!code_all,[0]!kazoku_a)</f>
        <v>5000</v>
      </c>
      <c r="K45" s="47"/>
      <c r="L45" s="18"/>
    </row>
    <row r="46" spans="2:12" ht="13.5">
      <c r="B46" s="9"/>
      <c r="C46" s="2"/>
      <c r="D46" s="54"/>
      <c r="E46" s="55"/>
      <c r="F46" s="18"/>
      <c r="H46" s="9"/>
      <c r="I46" s="2"/>
      <c r="J46" s="54"/>
      <c r="K46" s="55"/>
      <c r="L46" s="18"/>
    </row>
    <row r="47" spans="2:12" ht="13.5">
      <c r="B47" s="9"/>
      <c r="C47" s="34" t="s">
        <v>74</v>
      </c>
      <c r="D47" s="52">
        <f>SUM(D41:E46)</f>
        <v>227000</v>
      </c>
      <c r="E47" s="53"/>
      <c r="F47" s="18"/>
      <c r="H47" s="9"/>
      <c r="I47" s="34" t="s">
        <v>74</v>
      </c>
      <c r="J47" s="52">
        <f>SUM(J41:K46)</f>
        <v>227000</v>
      </c>
      <c r="K47" s="53"/>
      <c r="L47" s="18"/>
    </row>
    <row r="48" spans="2:12" ht="13.5">
      <c r="B48" s="9"/>
      <c r="C48" s="7"/>
      <c r="D48" s="54"/>
      <c r="E48" s="55"/>
      <c r="F48" s="18"/>
      <c r="H48" s="9"/>
      <c r="I48" s="7"/>
      <c r="J48" s="54"/>
      <c r="K48" s="55"/>
      <c r="L48" s="18"/>
    </row>
    <row r="49" spans="2:12" ht="13.5">
      <c r="B49" s="9"/>
      <c r="C49" s="2" t="s">
        <v>8</v>
      </c>
      <c r="D49" s="46">
        <f>LOOKUP(ncd3,[0]!code_all,[0]!tukin_a)</f>
        <v>12000</v>
      </c>
      <c r="E49" s="47"/>
      <c r="F49" s="18"/>
      <c r="H49" s="9"/>
      <c r="I49" s="2" t="s">
        <v>8</v>
      </c>
      <c r="J49" s="46">
        <f>LOOKUP(ncd4,[0]!code_all,[0]!tukin_a)</f>
        <v>12000</v>
      </c>
      <c r="K49" s="47"/>
      <c r="L49" s="18"/>
    </row>
    <row r="50" spans="2:12" ht="13.5">
      <c r="B50" s="9"/>
      <c r="C50" s="2" t="s">
        <v>10</v>
      </c>
      <c r="D50" s="46">
        <f>LOOKUP(ncd3,[0]!code_all,[0]!kousei_a)</f>
        <v>17000</v>
      </c>
      <c r="E50" s="47"/>
      <c r="F50" s="18"/>
      <c r="H50" s="9"/>
      <c r="I50" s="2" t="s">
        <v>10</v>
      </c>
      <c r="J50" s="46">
        <f>LOOKUP(ncd4,[0]!code_all,[0]!kousei_a)</f>
        <v>17000</v>
      </c>
      <c r="K50" s="47"/>
      <c r="L50" s="18"/>
    </row>
    <row r="51" spans="2:12" ht="13.5">
      <c r="B51" s="9"/>
      <c r="C51" s="2" t="s">
        <v>9</v>
      </c>
      <c r="D51" s="46">
        <f>LOOKUP(ncd3,[0]!code_all,[0]!kaigo_a)</f>
        <v>2500</v>
      </c>
      <c r="E51" s="47"/>
      <c r="F51" s="18"/>
      <c r="H51" s="9"/>
      <c r="I51" s="2" t="s">
        <v>9</v>
      </c>
      <c r="J51" s="46">
        <f>LOOKUP(ncd4,[0]!code_all,[0]!kaigo_a)</f>
        <v>2500</v>
      </c>
      <c r="K51" s="47"/>
      <c r="L51" s="18"/>
    </row>
    <row r="52" spans="2:12" ht="13.5">
      <c r="B52" s="9"/>
      <c r="C52" s="2" t="s">
        <v>11</v>
      </c>
      <c r="D52" s="43">
        <f>ROUND(支給額計*(3/1000),0)</f>
        <v>430</v>
      </c>
      <c r="E52" s="44"/>
      <c r="F52" s="18"/>
      <c r="H52" s="9"/>
      <c r="I52" s="2" t="s">
        <v>11</v>
      </c>
      <c r="J52" s="43">
        <f>ROUND(支給額計*(3/1000),0)</f>
        <v>430</v>
      </c>
      <c r="K52" s="44"/>
      <c r="L52" s="18"/>
    </row>
    <row r="53" spans="2:12" ht="13.5">
      <c r="B53" s="9"/>
      <c r="C53" s="2"/>
      <c r="D53" s="54"/>
      <c r="E53" s="55"/>
      <c r="F53" s="18"/>
      <c r="H53" s="9"/>
      <c r="I53" s="2"/>
      <c r="J53" s="54"/>
      <c r="K53" s="55"/>
      <c r="L53" s="18"/>
    </row>
    <row r="54" spans="2:12" ht="13.5">
      <c r="B54" s="9"/>
      <c r="C54" s="2"/>
      <c r="D54" s="54"/>
      <c r="E54" s="55"/>
      <c r="F54" s="18"/>
      <c r="H54" s="9"/>
      <c r="I54" s="2"/>
      <c r="J54" s="54"/>
      <c r="K54" s="55"/>
      <c r="L54" s="18"/>
    </row>
    <row r="55" spans="2:12" ht="13.5">
      <c r="B55" s="9"/>
      <c r="C55" s="34" t="s">
        <v>76</v>
      </c>
      <c r="D55" s="43">
        <f>SUM(D49:E54)</f>
        <v>31930</v>
      </c>
      <c r="E55" s="44"/>
      <c r="F55" s="18"/>
      <c r="H55" s="9"/>
      <c r="I55" s="34" t="s">
        <v>76</v>
      </c>
      <c r="J55" s="43">
        <f>SUM(J49:K54)</f>
        <v>31930</v>
      </c>
      <c r="K55" s="44"/>
      <c r="L55" s="18"/>
    </row>
    <row r="56" spans="2:12" ht="13.5">
      <c r="B56" s="9"/>
      <c r="C56" s="34" t="s">
        <v>13</v>
      </c>
      <c r="D56" s="43">
        <f>支給額計1-D55</f>
        <v>195070</v>
      </c>
      <c r="E56" s="44"/>
      <c r="F56" s="18"/>
      <c r="H56" s="9"/>
      <c r="I56" s="34" t="s">
        <v>13</v>
      </c>
      <c r="J56" s="43">
        <f>支給額計1-J55</f>
        <v>195070</v>
      </c>
      <c r="K56" s="44"/>
      <c r="L56" s="18"/>
    </row>
    <row r="57" spans="2:12" ht="13.5">
      <c r="B57" s="10"/>
      <c r="C57" s="19"/>
      <c r="D57" s="19"/>
      <c r="E57" s="19"/>
      <c r="F57" s="20"/>
      <c r="H57" s="10"/>
      <c r="I57" s="19"/>
      <c r="J57" s="19"/>
      <c r="K57" s="19"/>
      <c r="L57" s="20"/>
    </row>
    <row r="64" spans="2:25" ht="18.75">
      <c r="B64" s="23" t="s">
        <v>70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2"/>
      <c r="Y64" s="22"/>
    </row>
    <row r="65" spans="2:25" ht="13.5">
      <c r="B65" s="25"/>
      <c r="C65" s="25"/>
      <c r="D65" s="24" t="s">
        <v>78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2"/>
      <c r="Y65" s="22"/>
    </row>
    <row r="66" spans="2:25" ht="13.5">
      <c r="B66" s="26"/>
      <c r="C66" s="26"/>
      <c r="D66" s="24" t="s">
        <v>68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2"/>
      <c r="Y66" s="22"/>
    </row>
    <row r="67" spans="2:25" ht="13.5">
      <c r="B67" s="27"/>
      <c r="C67" s="27"/>
      <c r="D67" s="24" t="s">
        <v>69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2"/>
      <c r="Y67" s="22"/>
    </row>
    <row r="68" spans="2:25" ht="13.5">
      <c r="B68" s="22" t="s">
        <v>77</v>
      </c>
      <c r="C68" s="22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2"/>
      <c r="Y68" s="22"/>
    </row>
    <row r="69" spans="2:25" ht="13.5">
      <c r="B69" s="24" t="s">
        <v>88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2"/>
      <c r="Y69" s="22"/>
    </row>
    <row r="70" ht="13.5">
      <c r="C70" t="s">
        <v>89</v>
      </c>
    </row>
    <row r="71" ht="13.5">
      <c r="C71" t="s">
        <v>90</v>
      </c>
    </row>
  </sheetData>
  <sheetProtection sheet="1"/>
  <mergeCells count="76">
    <mergeCell ref="D1:E1"/>
    <mergeCell ref="D2:E2"/>
    <mergeCell ref="D3:E3"/>
    <mergeCell ref="D4:E4"/>
    <mergeCell ref="D5:E5"/>
    <mergeCell ref="D8:E8"/>
    <mergeCell ref="J8:K8"/>
    <mergeCell ref="C9:D9"/>
    <mergeCell ref="I9:J9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4:E34"/>
    <mergeCell ref="J34:K34"/>
    <mergeCell ref="C35:D35"/>
    <mergeCell ref="I35:J35"/>
    <mergeCell ref="D41:E41"/>
    <mergeCell ref="J41:K41"/>
    <mergeCell ref="D42:E42"/>
    <mergeCell ref="J42:K42"/>
    <mergeCell ref="D43:E43"/>
    <mergeCell ref="J43:K43"/>
    <mergeCell ref="D44:E44"/>
    <mergeCell ref="J44:K44"/>
    <mergeCell ref="D45:E45"/>
    <mergeCell ref="J45:K45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0:K50"/>
    <mergeCell ref="D51:E51"/>
    <mergeCell ref="J51:K51"/>
    <mergeCell ref="D55:E55"/>
    <mergeCell ref="J55:K55"/>
    <mergeCell ref="D56:E56"/>
    <mergeCell ref="J56:K56"/>
    <mergeCell ref="D52:E52"/>
    <mergeCell ref="J52:K52"/>
    <mergeCell ref="D53:E53"/>
    <mergeCell ref="J53:K53"/>
    <mergeCell ref="D54:E54"/>
    <mergeCell ref="J54:K54"/>
  </mergeCells>
  <dataValidations count="1">
    <dataValidation allowBlank="1" showInputMessage="1" showErrorMessage="1" imeMode="on" sqref="E10:E11 K10:K11 E36:E37 K36:K37 I10:J21 C10:D21 I36:J47 C36:D47 I49:J56 C49:D56 I23:J30 C23:D30"/>
  </dataValidations>
  <hyperlinks>
    <hyperlink ref="I2" r:id="rId1" display="created by 情報処理コンサルタント：ＯＡコーディネターズ"/>
  </hyperlinks>
  <printOptions/>
  <pageMargins left="0.25" right="0.25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71"/>
  <sheetViews>
    <sheetView tabSelected="1" zoomScalePageLayoutView="0" workbookViewId="0" topLeftCell="A16">
      <selection activeCell="O34" sqref="O34:P36"/>
    </sheetView>
  </sheetViews>
  <sheetFormatPr defaultColWidth="8.796875" defaultRowHeight="14.25"/>
  <cols>
    <col min="1" max="1" width="3.59765625" style="0" customWidth="1"/>
    <col min="2" max="2" width="4.19921875" style="0" customWidth="1"/>
    <col min="3" max="3" width="14.19921875" style="0" customWidth="1"/>
    <col min="4" max="4" width="6.3984375" style="0" customWidth="1"/>
    <col min="5" max="5" width="7.69921875" style="0" customWidth="1"/>
    <col min="6" max="6" width="3.69921875" style="0" customWidth="1"/>
    <col min="7" max="7" width="4.19921875" style="0" customWidth="1"/>
    <col min="8" max="8" width="5" style="0" customWidth="1"/>
    <col min="9" max="9" width="13" style="0" customWidth="1"/>
    <col min="10" max="10" width="6.3984375" style="0" customWidth="1"/>
    <col min="11" max="11" width="7.5" style="0" customWidth="1"/>
    <col min="12" max="12" width="4.09765625" style="0" customWidth="1"/>
  </cols>
  <sheetData>
    <row r="1" spans="3:5" ht="14.25">
      <c r="C1" s="39" t="s">
        <v>83</v>
      </c>
      <c r="D1" s="48">
        <v>43709</v>
      </c>
      <c r="E1" s="48"/>
    </row>
    <row r="2" spans="3:9" ht="19.5">
      <c r="C2" s="39" t="s">
        <v>84</v>
      </c>
      <c r="D2" s="49" t="s">
        <v>85</v>
      </c>
      <c r="E2" s="49"/>
      <c r="I2" s="63" t="s">
        <v>91</v>
      </c>
    </row>
    <row r="3" spans="4:5" ht="13.5">
      <c r="D3" s="49" t="s">
        <v>80</v>
      </c>
      <c r="E3" s="49"/>
    </row>
    <row r="4" spans="4:5" ht="13.5">
      <c r="D4" s="49" t="s">
        <v>82</v>
      </c>
      <c r="E4" s="49"/>
    </row>
    <row r="5" spans="4:5" ht="13.5">
      <c r="D5" s="49" t="s">
        <v>81</v>
      </c>
      <c r="E5" s="49"/>
    </row>
    <row r="7" spans="2:12" ht="13.5">
      <c r="B7" s="8"/>
      <c r="C7" s="13"/>
      <c r="D7" s="13"/>
      <c r="E7" s="13"/>
      <c r="F7" s="14"/>
      <c r="H7" s="8"/>
      <c r="I7" s="13"/>
      <c r="J7" s="13"/>
      <c r="K7" s="13"/>
      <c r="L7" s="14"/>
    </row>
    <row r="8" spans="2:12" ht="13.5">
      <c r="B8" s="15"/>
      <c r="C8" s="40">
        <f>支給月</f>
        <v>43709</v>
      </c>
      <c r="D8" s="42" t="s">
        <v>86</v>
      </c>
      <c r="E8" s="42"/>
      <c r="F8" s="17"/>
      <c r="H8" s="15"/>
      <c r="I8" s="40">
        <f>支給月</f>
        <v>43709</v>
      </c>
      <c r="J8" s="42" t="s">
        <v>86</v>
      </c>
      <c r="K8" s="42"/>
      <c r="L8" s="17"/>
    </row>
    <row r="9" spans="2:12" ht="17.25">
      <c r="B9" s="15"/>
      <c r="C9" s="57" t="str">
        <f>LOOKUP(ncd,[0]!code_all,[0]!氏名)</f>
        <v>埼玉　３男</v>
      </c>
      <c r="D9" s="58"/>
      <c r="E9" s="36" t="s">
        <v>79</v>
      </c>
      <c r="F9" s="17"/>
      <c r="H9" s="15"/>
      <c r="I9" s="56" t="str">
        <f>LOOKUP(ncd2,[0]!code_all,[0]!氏名)</f>
        <v>埼玉　４男</v>
      </c>
      <c r="J9" s="56"/>
      <c r="K9" s="16" t="s">
        <v>79</v>
      </c>
      <c r="L9" s="17"/>
    </row>
    <row r="10" spans="2:12" ht="13.5">
      <c r="B10" s="9"/>
      <c r="C10" s="2" t="s">
        <v>1</v>
      </c>
      <c r="D10" s="41">
        <v>15</v>
      </c>
      <c r="E10" s="2" t="s">
        <v>71</v>
      </c>
      <c r="F10" s="18"/>
      <c r="H10" s="9"/>
      <c r="I10" s="2" t="s">
        <v>1</v>
      </c>
      <c r="J10" s="41">
        <v>15</v>
      </c>
      <c r="K10" s="1" t="s">
        <v>71</v>
      </c>
      <c r="L10" s="18"/>
    </row>
    <row r="11" spans="2:12" ht="13.5">
      <c r="B11" s="9"/>
      <c r="C11" s="2" t="s">
        <v>2</v>
      </c>
      <c r="D11" s="41">
        <v>0</v>
      </c>
      <c r="E11" s="2" t="s">
        <v>71</v>
      </c>
      <c r="F11" s="18"/>
      <c r="H11" s="9"/>
      <c r="I11" s="2" t="s">
        <v>2</v>
      </c>
      <c r="J11" s="41">
        <v>0</v>
      </c>
      <c r="K11" s="1" t="s">
        <v>71</v>
      </c>
      <c r="L11" s="18"/>
    </row>
    <row r="12" spans="2:12" ht="13.5">
      <c r="B12" s="9"/>
      <c r="C12" s="2" t="s">
        <v>72</v>
      </c>
      <c r="D12" s="41">
        <v>120</v>
      </c>
      <c r="E12" s="38" t="s">
        <v>75</v>
      </c>
      <c r="F12" s="18"/>
      <c r="H12" s="9"/>
      <c r="I12" s="2" t="s">
        <v>72</v>
      </c>
      <c r="J12" s="41">
        <v>1</v>
      </c>
      <c r="K12" s="28" t="s">
        <v>75</v>
      </c>
      <c r="L12" s="18"/>
    </row>
    <row r="13" spans="2:12" ht="13.5">
      <c r="B13" s="37"/>
      <c r="C13" s="2" t="s">
        <v>73</v>
      </c>
      <c r="D13" s="41">
        <v>5</v>
      </c>
      <c r="E13" s="38" t="s">
        <v>75</v>
      </c>
      <c r="F13" s="18"/>
      <c r="H13" s="9"/>
      <c r="I13" s="29" t="s">
        <v>73</v>
      </c>
      <c r="J13" s="41">
        <v>5</v>
      </c>
      <c r="K13" s="28" t="s">
        <v>75</v>
      </c>
      <c r="L13" s="18"/>
    </row>
    <row r="14" spans="2:12" ht="13.5">
      <c r="B14" s="9"/>
      <c r="C14" s="11"/>
      <c r="D14" s="6"/>
      <c r="E14" s="12"/>
      <c r="F14" s="18"/>
      <c r="H14" s="9"/>
      <c r="I14" s="11"/>
      <c r="J14" s="6"/>
      <c r="K14" s="12"/>
      <c r="L14" s="18"/>
    </row>
    <row r="15" spans="2:12" ht="13.5">
      <c r="B15" s="9"/>
      <c r="C15" s="2" t="s">
        <v>3</v>
      </c>
      <c r="D15" s="43">
        <f>IF(LOOKUP(ncd,[0]!code_all,[0]!part)=0,LOOKUP(ncd,[0]!code_all,[0]!kihon_a),LOOKUP(ncd,[0]!code_all,[0]!kihon_a)*労働時間)</f>
        <v>115200</v>
      </c>
      <c r="E15" s="44"/>
      <c r="F15" s="18"/>
      <c r="H15" s="9"/>
      <c r="I15" s="2" t="s">
        <v>3</v>
      </c>
      <c r="J15" s="43">
        <f>IF(LOOKUP(ncd2,[0]!code_all,[0]!part)=0,LOOKUP(ncd2,[0]!code_all,[0]!kihon_a),LOOKUP(ncd,[0]!code_all,[0]!kihon_a)*労働時間1)</f>
        <v>200000</v>
      </c>
      <c r="K15" s="44"/>
      <c r="L15" s="18"/>
    </row>
    <row r="16" spans="2:12" ht="13.5">
      <c r="B16" s="9"/>
      <c r="C16" s="2" t="s">
        <v>4</v>
      </c>
      <c r="D16" s="43">
        <f>IF(LOOKUP(ncd,[0]!code_all,[0]!part)=0,ROUND(LOOKUP(ncd,[0]!code_all,[0]!kihon_a)/173*1.25*残業時間,0),ROUND(LOOKUP(ncd,[0]!code_all,[0]!kihon_a)*1.25,0))</f>
        <v>1200</v>
      </c>
      <c r="E16" s="45"/>
      <c r="F16" s="18"/>
      <c r="H16" s="9"/>
      <c r="I16" s="2" t="s">
        <v>4</v>
      </c>
      <c r="J16" s="52">
        <f>IF(LOOKUP(ncd2,[0]!code_all,[0]!part)=0,ROUND(LOOKUP(ncd2,[0]!code_all,[0]!kihon_a)/173*1.25*残業時間1,0),ROUND(LOOKUP(ncd2,[0]!code_all,[0]!kihon_a)*1.25,0))</f>
        <v>7225</v>
      </c>
      <c r="K16" s="53"/>
      <c r="L16" s="18"/>
    </row>
    <row r="17" spans="2:12" ht="13.5">
      <c r="B17" s="9"/>
      <c r="C17" s="35" t="s">
        <v>5</v>
      </c>
      <c r="D17" s="46">
        <f>LOOKUP(ncd,[0]!code_all,[0]!tukin_a)</f>
        <v>12000</v>
      </c>
      <c r="E17" s="47"/>
      <c r="F17" s="18"/>
      <c r="H17" s="9"/>
      <c r="I17" s="35" t="s">
        <v>5</v>
      </c>
      <c r="J17" s="46">
        <f>LOOKUP(ncd2,[0]!code_all,[0]!tukin_a)</f>
        <v>12000</v>
      </c>
      <c r="K17" s="47"/>
      <c r="L17" s="18"/>
    </row>
    <row r="18" spans="2:12" ht="13.5">
      <c r="B18" s="9"/>
      <c r="C18" s="2" t="s">
        <v>6</v>
      </c>
      <c r="D18" s="46">
        <f>LOOKUP(ncd2,[0]!code_all,[0]!jyutaku_a)</f>
        <v>10000</v>
      </c>
      <c r="E18" s="47"/>
      <c r="F18" s="18"/>
      <c r="H18" s="9"/>
      <c r="I18" s="2" t="s">
        <v>6</v>
      </c>
      <c r="J18" s="46">
        <f>LOOKUP(ncd2,[0]!code_all,[0]!jyutaku_a)</f>
        <v>10000</v>
      </c>
      <c r="K18" s="47"/>
      <c r="L18" s="18"/>
    </row>
    <row r="19" spans="2:12" ht="13.5">
      <c r="B19" s="9"/>
      <c r="C19" s="2" t="s">
        <v>7</v>
      </c>
      <c r="D19" s="46">
        <f>LOOKUP(ncd,[0]!code_all,[0]!kazoku_a)</f>
        <v>5000</v>
      </c>
      <c r="E19" s="47"/>
      <c r="F19" s="18"/>
      <c r="H19" s="9"/>
      <c r="I19" s="2" t="s">
        <v>7</v>
      </c>
      <c r="J19" s="46">
        <f>LOOKUP(ncd2,[0]!code_all,[0]!kazoku_a)</f>
        <v>5000</v>
      </c>
      <c r="K19" s="47"/>
      <c r="L19" s="18"/>
    </row>
    <row r="20" spans="2:12" ht="13.5">
      <c r="B20" s="9"/>
      <c r="C20" s="2"/>
      <c r="D20" s="59"/>
      <c r="E20" s="60"/>
      <c r="F20" s="18"/>
      <c r="H20" s="9"/>
      <c r="I20" s="2"/>
      <c r="J20" s="54"/>
      <c r="K20" s="55"/>
      <c r="L20" s="18"/>
    </row>
    <row r="21" spans="2:12" ht="13.5">
      <c r="B21" s="9"/>
      <c r="C21" s="34" t="s">
        <v>74</v>
      </c>
      <c r="D21" s="52">
        <f>SUM(D15:E20)</f>
        <v>143400</v>
      </c>
      <c r="E21" s="53"/>
      <c r="F21" s="18"/>
      <c r="H21" s="9"/>
      <c r="I21" s="34" t="s">
        <v>74</v>
      </c>
      <c r="J21" s="52">
        <f>SUM(J15:K20)</f>
        <v>234225</v>
      </c>
      <c r="K21" s="53"/>
      <c r="L21" s="18"/>
    </row>
    <row r="22" spans="2:12" ht="13.5">
      <c r="B22" s="9"/>
      <c r="C22" s="7"/>
      <c r="D22" s="21"/>
      <c r="E22" s="21"/>
      <c r="F22" s="18"/>
      <c r="H22" s="9"/>
      <c r="I22" s="7"/>
      <c r="J22" s="54"/>
      <c r="K22" s="55"/>
      <c r="L22" s="18"/>
    </row>
    <row r="23" spans="2:12" ht="13.5">
      <c r="B23" s="9"/>
      <c r="C23" s="2" t="s">
        <v>8</v>
      </c>
      <c r="D23" s="46">
        <f>LOOKUP(ncd,[0]!code_all,[0]!tukin_a)</f>
        <v>12000</v>
      </c>
      <c r="E23" s="47"/>
      <c r="F23" s="18"/>
      <c r="H23" s="9"/>
      <c r="I23" s="2" t="s">
        <v>8</v>
      </c>
      <c r="J23" s="46">
        <f>LOOKUP(ncd2,[0]!code_all,[0]!tukin_a)</f>
        <v>12000</v>
      </c>
      <c r="K23" s="47"/>
      <c r="L23" s="18"/>
    </row>
    <row r="24" spans="2:12" ht="13.5">
      <c r="B24" s="9"/>
      <c r="C24" s="2" t="s">
        <v>10</v>
      </c>
      <c r="D24" s="46">
        <f>LOOKUP(ncd2,[0]!code_all,[0]!kousei_a)</f>
        <v>17000</v>
      </c>
      <c r="E24" s="47"/>
      <c r="F24" s="18"/>
      <c r="H24" s="9"/>
      <c r="I24" s="2" t="s">
        <v>10</v>
      </c>
      <c r="J24" s="46">
        <f>LOOKUP(ncd2,[0]!code_all,[0]!kousei_a)</f>
        <v>17000</v>
      </c>
      <c r="K24" s="47"/>
      <c r="L24" s="18"/>
    </row>
    <row r="25" spans="2:12" ht="13.5">
      <c r="B25" s="9"/>
      <c r="C25" s="2" t="s">
        <v>9</v>
      </c>
      <c r="D25" s="46">
        <f>LOOKUP(ncd,[0]!code_all,[0]!kaigo_a)</f>
        <v>2500</v>
      </c>
      <c r="E25" s="47"/>
      <c r="F25" s="18"/>
      <c r="H25" s="9"/>
      <c r="I25" s="2" t="s">
        <v>9</v>
      </c>
      <c r="J25" s="46">
        <f>LOOKUP(ncd,[0]!code_all,[0]!kaigo_a)</f>
        <v>2500</v>
      </c>
      <c r="K25" s="47"/>
      <c r="L25" s="18"/>
    </row>
    <row r="26" spans="2:12" ht="13.5">
      <c r="B26" s="9"/>
      <c r="C26" s="2" t="s">
        <v>11</v>
      </c>
      <c r="D26" s="52">
        <f>ROUND(支給額計*(3/1000),0)</f>
        <v>430</v>
      </c>
      <c r="E26" s="53"/>
      <c r="F26" s="18"/>
      <c r="H26" s="9"/>
      <c r="I26" s="2" t="s">
        <v>11</v>
      </c>
      <c r="J26" s="61">
        <f>ROUND(支給額計*(3/1000),0)</f>
        <v>430</v>
      </c>
      <c r="K26" s="62"/>
      <c r="L26" s="18"/>
    </row>
    <row r="27" spans="2:12" ht="13.5">
      <c r="B27" s="9"/>
      <c r="C27" s="2"/>
      <c r="D27" s="50"/>
      <c r="E27" s="51"/>
      <c r="F27" s="18"/>
      <c r="H27" s="9"/>
      <c r="I27" s="2"/>
      <c r="J27" s="54"/>
      <c r="K27" s="55"/>
      <c r="L27" s="18"/>
    </row>
    <row r="28" spans="2:12" ht="13.5">
      <c r="B28" s="9"/>
      <c r="C28" s="2"/>
      <c r="D28" s="50"/>
      <c r="E28" s="51"/>
      <c r="F28" s="18"/>
      <c r="H28" s="9"/>
      <c r="I28" s="2"/>
      <c r="J28" s="54"/>
      <c r="K28" s="55"/>
      <c r="L28" s="18"/>
    </row>
    <row r="29" spans="2:12" ht="13.5">
      <c r="B29" s="9"/>
      <c r="C29" s="34" t="s">
        <v>76</v>
      </c>
      <c r="D29" s="52">
        <f>SUM(D23:E28)</f>
        <v>31930</v>
      </c>
      <c r="E29" s="53"/>
      <c r="F29" s="18"/>
      <c r="H29" s="9"/>
      <c r="I29" s="34" t="s">
        <v>76</v>
      </c>
      <c r="J29" s="54">
        <f>SUM(J23:K28)</f>
        <v>31930</v>
      </c>
      <c r="K29" s="55"/>
      <c r="L29" s="18"/>
    </row>
    <row r="30" spans="2:12" ht="13.5">
      <c r="B30" s="9"/>
      <c r="C30" s="34" t="s">
        <v>13</v>
      </c>
      <c r="D30" s="52">
        <f>支給額計1-D29</f>
        <v>202295</v>
      </c>
      <c r="E30" s="53"/>
      <c r="F30" s="18"/>
      <c r="H30" s="9"/>
      <c r="I30" s="34" t="s">
        <v>13</v>
      </c>
      <c r="J30" s="54">
        <f>支給額計1-J29</f>
        <v>202295</v>
      </c>
      <c r="K30" s="55"/>
      <c r="L30" s="18"/>
    </row>
    <row r="31" spans="2:12" ht="13.5">
      <c r="B31" s="10"/>
      <c r="C31" s="19"/>
      <c r="D31" s="19"/>
      <c r="E31" s="19"/>
      <c r="F31" s="20"/>
      <c r="H31" s="10"/>
      <c r="I31" s="19"/>
      <c r="J31" s="19"/>
      <c r="K31" s="19"/>
      <c r="L31" s="20"/>
    </row>
    <row r="33" spans="2:12" ht="13.5">
      <c r="B33" s="8"/>
      <c r="C33" s="13"/>
      <c r="D33" s="13"/>
      <c r="E33" s="13"/>
      <c r="F33" s="14"/>
      <c r="H33" s="8"/>
      <c r="I33" s="13"/>
      <c r="J33" s="13"/>
      <c r="K33" s="13"/>
      <c r="L33" s="14"/>
    </row>
    <row r="34" spans="2:12" ht="13.5">
      <c r="B34" s="15"/>
      <c r="C34" s="40">
        <f>支給月</f>
        <v>43709</v>
      </c>
      <c r="D34" s="42" t="s">
        <v>86</v>
      </c>
      <c r="E34" s="42"/>
      <c r="F34" s="17"/>
      <c r="H34" s="15"/>
      <c r="I34" s="40">
        <f>支給月</f>
        <v>43709</v>
      </c>
      <c r="J34" s="42" t="s">
        <v>86</v>
      </c>
      <c r="K34" s="42"/>
      <c r="L34" s="17"/>
    </row>
    <row r="35" spans="2:12" ht="17.25">
      <c r="B35" s="15"/>
      <c r="C35" s="56" t="str">
        <f>LOOKUP(ncd3,[0]!code_all,[0]!氏名)</f>
        <v>大坂　６男</v>
      </c>
      <c r="D35" s="56"/>
      <c r="E35" s="16" t="s">
        <v>79</v>
      </c>
      <c r="F35" s="17"/>
      <c r="H35" s="15"/>
      <c r="I35" s="56" t="str">
        <f>LOOKUP(ncd2,[0]!code_all,[0]!氏名)</f>
        <v>埼玉　４男</v>
      </c>
      <c r="J35" s="56"/>
      <c r="K35" s="16" t="s">
        <v>79</v>
      </c>
      <c r="L35" s="17"/>
    </row>
    <row r="36" spans="2:12" ht="13.5">
      <c r="B36" s="9"/>
      <c r="C36" s="2" t="s">
        <v>1</v>
      </c>
      <c r="D36" s="33">
        <v>15</v>
      </c>
      <c r="E36" s="1" t="s">
        <v>71</v>
      </c>
      <c r="F36" s="18"/>
      <c r="H36" s="9"/>
      <c r="I36" s="2" t="s">
        <v>1</v>
      </c>
      <c r="J36" s="33">
        <v>15</v>
      </c>
      <c r="K36" s="1" t="s">
        <v>71</v>
      </c>
      <c r="L36" s="18"/>
    </row>
    <row r="37" spans="2:12" ht="13.5">
      <c r="B37" s="9"/>
      <c r="C37" s="2" t="s">
        <v>2</v>
      </c>
      <c r="D37" s="33">
        <v>0</v>
      </c>
      <c r="E37" s="1" t="s">
        <v>71</v>
      </c>
      <c r="F37" s="18"/>
      <c r="H37" s="9"/>
      <c r="I37" s="2" t="s">
        <v>2</v>
      </c>
      <c r="J37" s="33">
        <v>0</v>
      </c>
      <c r="K37" s="1" t="s">
        <v>71</v>
      </c>
      <c r="L37" s="18"/>
    </row>
    <row r="38" spans="2:12" ht="13.5">
      <c r="B38" s="9"/>
      <c r="C38" s="2" t="s">
        <v>72</v>
      </c>
      <c r="D38" s="33">
        <v>0</v>
      </c>
      <c r="E38" s="28" t="s">
        <v>75</v>
      </c>
      <c r="F38" s="18"/>
      <c r="H38" s="9"/>
      <c r="I38" s="2" t="s">
        <v>72</v>
      </c>
      <c r="J38" s="33">
        <v>0</v>
      </c>
      <c r="K38" s="28" t="s">
        <v>75</v>
      </c>
      <c r="L38" s="18"/>
    </row>
    <row r="39" spans="2:12" ht="13.5">
      <c r="B39" s="9"/>
      <c r="C39" s="29" t="s">
        <v>73</v>
      </c>
      <c r="D39" s="33">
        <v>0</v>
      </c>
      <c r="E39" s="28" t="s">
        <v>75</v>
      </c>
      <c r="F39" s="18"/>
      <c r="H39" s="9"/>
      <c r="I39" s="29" t="s">
        <v>73</v>
      </c>
      <c r="J39" s="33">
        <v>0</v>
      </c>
      <c r="K39" s="28" t="s">
        <v>75</v>
      </c>
      <c r="L39" s="18"/>
    </row>
    <row r="40" spans="2:12" ht="13.5">
      <c r="B40" s="9"/>
      <c r="C40" s="11"/>
      <c r="D40" s="6"/>
      <c r="E40" s="12"/>
      <c r="F40" s="18"/>
      <c r="H40" s="9"/>
      <c r="I40" s="11"/>
      <c r="J40" s="6"/>
      <c r="K40" s="12"/>
      <c r="L40" s="18"/>
    </row>
    <row r="41" spans="2:12" ht="13.5">
      <c r="B41" s="9"/>
      <c r="C41" s="2" t="s">
        <v>3</v>
      </c>
      <c r="D41" s="54">
        <f>IF(LOOKUP(ncd3,[0]!code_all,[0]!part)=0,LOOKUP(ncd3,[0]!code_all,[0]!kihon_a),LOOKUP(ncd,[0]!code_all,[0]!kihon_a)*労働時間2)</f>
        <v>200000</v>
      </c>
      <c r="E41" s="55"/>
      <c r="F41" s="18"/>
      <c r="H41" s="9"/>
      <c r="I41" s="2" t="s">
        <v>3</v>
      </c>
      <c r="J41" s="54">
        <f>IF(LOOKUP(ncd4,[0]!code_all,[0]!part)=0,LOOKUP(ncd4,[0]!code_all,[0]!kihon_a),LOOKUP(ncd,[0]!code_all,[0]!kihon_a)*労働時間3)</f>
        <v>200000</v>
      </c>
      <c r="K41" s="55"/>
      <c r="L41" s="18"/>
    </row>
    <row r="42" spans="2:12" ht="13.5">
      <c r="B42" s="9"/>
      <c r="C42" s="2" t="s">
        <v>4</v>
      </c>
      <c r="D42" s="43">
        <f>IF(LOOKUP(ncd3,[0]!code_all,[0]!part)=0,ROUND(LOOKUP(ncd3,[0]!code_all,[0]!kihon_a)/173*1.25*残業時間2,0),ROUND(LOOKUP(ncd3,[0]!code_all,[0]!kihon_a)*1.25,0))</f>
        <v>0</v>
      </c>
      <c r="E42" s="45"/>
      <c r="F42" s="18"/>
      <c r="H42" s="9"/>
      <c r="I42" s="2" t="s">
        <v>4</v>
      </c>
      <c r="J42" s="43">
        <f>IF(LOOKUP(ncd3,[0]!code_all,[0]!part)=0,ROUND(LOOKUP(ncd3,[0]!code_all,[0]!kihon_a)/173*1.25*残業時間3,0),ROUND(LOOKUP(ncd3,[0]!code_all,[0]!kihon_a)*1.25,0))</f>
        <v>0</v>
      </c>
      <c r="K42" s="45"/>
      <c r="L42" s="18"/>
    </row>
    <row r="43" spans="2:12" ht="13.5">
      <c r="B43" s="9"/>
      <c r="C43" s="35" t="s">
        <v>5</v>
      </c>
      <c r="D43" s="46">
        <f>LOOKUP(ncd3,[0]!code_all,[0]!tukin_a)</f>
        <v>12000</v>
      </c>
      <c r="E43" s="47"/>
      <c r="F43" s="18"/>
      <c r="H43" s="9"/>
      <c r="I43" s="35" t="s">
        <v>5</v>
      </c>
      <c r="J43" s="46">
        <f>LOOKUP(ncd4,[0]!code_all,[0]!tukin_a)</f>
        <v>12000</v>
      </c>
      <c r="K43" s="47"/>
      <c r="L43" s="18"/>
    </row>
    <row r="44" spans="2:12" ht="13.5">
      <c r="B44" s="9"/>
      <c r="C44" s="2" t="s">
        <v>6</v>
      </c>
      <c r="D44" s="46">
        <f>LOOKUP(ncd3,[0]!code_all,[0]!jyutaku_a)</f>
        <v>10000</v>
      </c>
      <c r="E44" s="47"/>
      <c r="F44" s="18"/>
      <c r="H44" s="9"/>
      <c r="I44" s="2" t="s">
        <v>6</v>
      </c>
      <c r="J44" s="46">
        <f>LOOKUP(ncd4,[0]!code_all,[0]!jyutaku_a)</f>
        <v>10000</v>
      </c>
      <c r="K44" s="47"/>
      <c r="L44" s="18"/>
    </row>
    <row r="45" spans="2:12" ht="13.5">
      <c r="B45" s="9"/>
      <c r="C45" s="2" t="s">
        <v>7</v>
      </c>
      <c r="D45" s="46">
        <f>LOOKUP(ncd3,[0]!code_all,[0]!kazoku_a)</f>
        <v>5000</v>
      </c>
      <c r="E45" s="47"/>
      <c r="F45" s="18"/>
      <c r="H45" s="9"/>
      <c r="I45" s="2" t="s">
        <v>7</v>
      </c>
      <c r="J45" s="46">
        <f>LOOKUP(ncd4,[0]!code_all,[0]!kazoku_a)</f>
        <v>5000</v>
      </c>
      <c r="K45" s="47"/>
      <c r="L45" s="18"/>
    </row>
    <row r="46" spans="2:12" ht="13.5">
      <c r="B46" s="9"/>
      <c r="C46" s="2"/>
      <c r="D46" s="54"/>
      <c r="E46" s="55"/>
      <c r="F46" s="18"/>
      <c r="H46" s="9"/>
      <c r="I46" s="2"/>
      <c r="J46" s="54"/>
      <c r="K46" s="55"/>
      <c r="L46" s="18"/>
    </row>
    <row r="47" spans="2:12" ht="13.5">
      <c r="B47" s="9"/>
      <c r="C47" s="34" t="s">
        <v>74</v>
      </c>
      <c r="D47" s="52">
        <f>SUM(D41:E46)</f>
        <v>227000</v>
      </c>
      <c r="E47" s="53"/>
      <c r="F47" s="18"/>
      <c r="H47" s="9"/>
      <c r="I47" s="34" t="s">
        <v>74</v>
      </c>
      <c r="J47" s="52">
        <f>SUM(J41:K46)</f>
        <v>227000</v>
      </c>
      <c r="K47" s="53"/>
      <c r="L47" s="18"/>
    </row>
    <row r="48" spans="2:12" ht="13.5">
      <c r="B48" s="9"/>
      <c r="C48" s="7"/>
      <c r="D48" s="54"/>
      <c r="E48" s="55"/>
      <c r="F48" s="18"/>
      <c r="H48" s="9"/>
      <c r="I48" s="7"/>
      <c r="J48" s="54"/>
      <c r="K48" s="55"/>
      <c r="L48" s="18"/>
    </row>
    <row r="49" spans="2:12" ht="13.5">
      <c r="B49" s="9"/>
      <c r="C49" s="2" t="s">
        <v>8</v>
      </c>
      <c r="D49" s="46">
        <f>LOOKUP(ncd3,[0]!code_all,[0]!tukin_a)</f>
        <v>12000</v>
      </c>
      <c r="E49" s="47"/>
      <c r="F49" s="18"/>
      <c r="H49" s="9"/>
      <c r="I49" s="2" t="s">
        <v>8</v>
      </c>
      <c r="J49" s="46">
        <f>LOOKUP(ncd4,[0]!code_all,[0]!tukin_a)</f>
        <v>12000</v>
      </c>
      <c r="K49" s="47"/>
      <c r="L49" s="18"/>
    </row>
    <row r="50" spans="2:12" ht="13.5">
      <c r="B50" s="9"/>
      <c r="C50" s="2" t="s">
        <v>10</v>
      </c>
      <c r="D50" s="46">
        <f>LOOKUP(ncd3,[0]!code_all,[0]!kousei_a)</f>
        <v>17000</v>
      </c>
      <c r="E50" s="47"/>
      <c r="F50" s="18"/>
      <c r="H50" s="9"/>
      <c r="I50" s="2" t="s">
        <v>10</v>
      </c>
      <c r="J50" s="46">
        <f>LOOKUP(ncd4,[0]!code_all,[0]!kousei_a)</f>
        <v>17000</v>
      </c>
      <c r="K50" s="47"/>
      <c r="L50" s="18"/>
    </row>
    <row r="51" spans="2:12" ht="13.5">
      <c r="B51" s="9"/>
      <c r="C51" s="2" t="s">
        <v>9</v>
      </c>
      <c r="D51" s="46">
        <f>LOOKUP(ncd3,[0]!code_all,[0]!kaigo_a)</f>
        <v>2500</v>
      </c>
      <c r="E51" s="47"/>
      <c r="F51" s="18"/>
      <c r="H51" s="9"/>
      <c r="I51" s="2" t="s">
        <v>9</v>
      </c>
      <c r="J51" s="46">
        <f>LOOKUP(ncd4,[0]!code_all,[0]!kaigo_a)</f>
        <v>2500</v>
      </c>
      <c r="K51" s="47"/>
      <c r="L51" s="18"/>
    </row>
    <row r="52" spans="2:12" ht="13.5">
      <c r="B52" s="9"/>
      <c r="C52" s="2" t="s">
        <v>11</v>
      </c>
      <c r="D52" s="43">
        <f>ROUND(支給額計*(3/1000),0)</f>
        <v>430</v>
      </c>
      <c r="E52" s="44"/>
      <c r="F52" s="18"/>
      <c r="H52" s="9"/>
      <c r="I52" s="2" t="s">
        <v>11</v>
      </c>
      <c r="J52" s="43">
        <f>ROUND(支給額計*(3/1000),0)</f>
        <v>430</v>
      </c>
      <c r="K52" s="44"/>
      <c r="L52" s="18"/>
    </row>
    <row r="53" spans="2:12" ht="13.5">
      <c r="B53" s="9"/>
      <c r="C53" s="2"/>
      <c r="D53" s="54"/>
      <c r="E53" s="55"/>
      <c r="F53" s="18"/>
      <c r="H53" s="9"/>
      <c r="I53" s="2"/>
      <c r="J53" s="54"/>
      <c r="K53" s="55"/>
      <c r="L53" s="18"/>
    </row>
    <row r="54" spans="2:12" ht="13.5">
      <c r="B54" s="9"/>
      <c r="C54" s="2"/>
      <c r="D54" s="54"/>
      <c r="E54" s="55"/>
      <c r="F54" s="18"/>
      <c r="H54" s="9"/>
      <c r="I54" s="2"/>
      <c r="J54" s="54"/>
      <c r="K54" s="55"/>
      <c r="L54" s="18"/>
    </row>
    <row r="55" spans="2:12" ht="13.5">
      <c r="B55" s="9"/>
      <c r="C55" s="34" t="s">
        <v>76</v>
      </c>
      <c r="D55" s="43">
        <f>SUM(D49:E54)</f>
        <v>31930</v>
      </c>
      <c r="E55" s="44"/>
      <c r="F55" s="18"/>
      <c r="H55" s="9"/>
      <c r="I55" s="34" t="s">
        <v>76</v>
      </c>
      <c r="J55" s="43">
        <f>SUM(J49:K54)</f>
        <v>31930</v>
      </c>
      <c r="K55" s="44"/>
      <c r="L55" s="18"/>
    </row>
    <row r="56" spans="2:12" ht="13.5">
      <c r="B56" s="9"/>
      <c r="C56" s="34" t="s">
        <v>13</v>
      </c>
      <c r="D56" s="43">
        <f>支給額計1-D55</f>
        <v>202295</v>
      </c>
      <c r="E56" s="44"/>
      <c r="F56" s="18"/>
      <c r="H56" s="9"/>
      <c r="I56" s="34" t="s">
        <v>13</v>
      </c>
      <c r="J56" s="43">
        <f>支給額計1-J55</f>
        <v>202295</v>
      </c>
      <c r="K56" s="44"/>
      <c r="L56" s="18"/>
    </row>
    <row r="57" spans="2:12" ht="13.5">
      <c r="B57" s="10"/>
      <c r="C57" s="19"/>
      <c r="D57" s="19"/>
      <c r="E57" s="19"/>
      <c r="F57" s="20"/>
      <c r="H57" s="10"/>
      <c r="I57" s="19"/>
      <c r="J57" s="19"/>
      <c r="K57" s="19"/>
      <c r="L57" s="20"/>
    </row>
    <row r="64" spans="2:25" ht="18.75">
      <c r="B64" s="23" t="s">
        <v>70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2"/>
      <c r="Y64" s="22"/>
    </row>
    <row r="65" spans="2:25" ht="13.5">
      <c r="B65" s="25"/>
      <c r="C65" s="25"/>
      <c r="D65" s="24" t="s">
        <v>78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2"/>
      <c r="Y65" s="22"/>
    </row>
    <row r="66" spans="2:25" ht="13.5">
      <c r="B66" s="26"/>
      <c r="C66" s="26"/>
      <c r="D66" s="24" t="s">
        <v>68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2"/>
      <c r="Y66" s="22"/>
    </row>
    <row r="67" spans="2:25" ht="13.5">
      <c r="B67" s="27"/>
      <c r="C67" s="27"/>
      <c r="D67" s="24" t="s">
        <v>69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2"/>
      <c r="Y67" s="22"/>
    </row>
    <row r="68" spans="2:25" ht="13.5">
      <c r="B68" s="22" t="s">
        <v>77</v>
      </c>
      <c r="C68" s="22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2"/>
      <c r="Y68" s="22"/>
    </row>
    <row r="69" spans="2:25" ht="13.5">
      <c r="B69" s="24" t="s">
        <v>88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2"/>
      <c r="Y69" s="22"/>
    </row>
    <row r="70" ht="13.5">
      <c r="C70" t="s">
        <v>89</v>
      </c>
    </row>
    <row r="71" ht="13.5">
      <c r="C71" t="s">
        <v>90</v>
      </c>
    </row>
  </sheetData>
  <sheetProtection sheet="1"/>
  <mergeCells count="76">
    <mergeCell ref="D1:E1"/>
    <mergeCell ref="D2:E2"/>
    <mergeCell ref="D3:E3"/>
    <mergeCell ref="D4:E4"/>
    <mergeCell ref="D5:E5"/>
    <mergeCell ref="D8:E8"/>
    <mergeCell ref="J8:K8"/>
    <mergeCell ref="C9:D9"/>
    <mergeCell ref="I9:J9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4:E34"/>
    <mergeCell ref="J34:K34"/>
    <mergeCell ref="C35:D35"/>
    <mergeCell ref="I35:J35"/>
    <mergeCell ref="D41:E41"/>
    <mergeCell ref="J41:K41"/>
    <mergeCell ref="D42:E42"/>
    <mergeCell ref="J42:K42"/>
    <mergeCell ref="D43:E43"/>
    <mergeCell ref="J43:K43"/>
    <mergeCell ref="D44:E44"/>
    <mergeCell ref="J44:K44"/>
    <mergeCell ref="D45:E45"/>
    <mergeCell ref="J45:K45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0:K50"/>
    <mergeCell ref="D51:E51"/>
    <mergeCell ref="J51:K51"/>
    <mergeCell ref="D55:E55"/>
    <mergeCell ref="J55:K55"/>
    <mergeCell ref="D56:E56"/>
    <mergeCell ref="J56:K56"/>
    <mergeCell ref="D52:E52"/>
    <mergeCell ref="J52:K52"/>
    <mergeCell ref="D53:E53"/>
    <mergeCell ref="J53:K53"/>
    <mergeCell ref="D54:E54"/>
    <mergeCell ref="J54:K54"/>
  </mergeCells>
  <dataValidations count="1">
    <dataValidation allowBlank="1" showInputMessage="1" showErrorMessage="1" imeMode="on" sqref="E10:E11 K10:K11 E36:E37 K36:K37 I10:J21 C10:D21 I36:J47 C36:D47 I49:J56 C49:D56 I23:J30 C23:D30"/>
  </dataValidations>
  <hyperlinks>
    <hyperlink ref="I2" r:id="rId1" display="created by 情報処理コンサルタント：ＯＡコーディネターズ"/>
  </hyperlinks>
  <printOptions/>
  <pageMargins left="0.25" right="0.25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alone60 takaharu</dc:creator>
  <cp:keywords/>
  <dc:description/>
  <cp:lastModifiedBy>alone60 takaharu</cp:lastModifiedBy>
  <cp:lastPrinted>2019-11-16T05:08:59Z</cp:lastPrinted>
  <dcterms:created xsi:type="dcterms:W3CDTF">2008-02-22T02:31:38Z</dcterms:created>
  <dcterms:modified xsi:type="dcterms:W3CDTF">2019-11-18T00:39:21Z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